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activeTab="16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<sst xmlns="http://schemas.openxmlformats.org/spreadsheetml/2006/main" count="3322" uniqueCount="238">
  <si>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</si>
  <si>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</si>
  <si>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</si>
  <si>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</si>
  <si>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</si>
  <si>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</si>
  <si>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</si>
  <si>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</si>
  <si>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</si>
  <si>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</si>
  <si>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</si>
  <si>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</si>
  <si>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</si>
  <si>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</si>
  <si>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</si>
  <si>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</si>
  <si>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</si>
  <si>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</si>
  <si>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</si>
  <si>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</si>
  <si>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</si>
  <si>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</si>
  <si>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</si>
  <si>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</si>
  <si>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</si>
  <si>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</si>
  <si>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</si>
  <si>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</si>
  <si>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</si>
  <si>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</si>
  <si>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</si>
  <si>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</si>
  <si>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</si>
  <si>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</si>
  <si>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</si>
  <si>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</si>
  <si>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</si>
  <si>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</si>
  <si>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</si>
  <si>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</si>
  <si>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</si>
  <si>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</si>
  <si>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</si>
  <si>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</si>
  <si>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</si>
  <si>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</si>
  <si>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</si>
  <si>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</si>
  <si>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</si>
  <si>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</si>
  <si>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</si>
  <si>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</si>
  <si>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</si>
  <si>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</si>
  <si>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</si>
  <si>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</si>
  <si>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</si>
  <si>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</si>
  <si>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</si>
  <si>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</si>
  <si>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</si>
  <si>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</si>
  <si>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</si>
  <si>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</si>
  <si>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</si>
  <si>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</si>
  <si>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</si>
  <si>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</si>
  <si>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</si>
  <si>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</si>
  <si>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</si>
  <si>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</si>
  <si>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</si>
  <si>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</si>
  <si>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</si>
  <si>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</si>
  <si>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</si>
  <si>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</si>
  <si>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</si>
  <si>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</si>
  <si>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</si>
  <si>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</si>
  <si>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</si>
  <si>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</si>
  <si>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</si>
  <si>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</si>
  <si>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</si>
  <si>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</si>
  <si>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</si>
  <si>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</si>
  <si>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</si>
  <si>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</si>
  <si>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</si>
  <si>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</si>
  <si>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</si>
  <si>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</si>
  <si>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</si>
  <si>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</si>
  <si>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</si>
  <si>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</si>
  <si>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</si>
  <si>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</si>
  <si>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</si>
  <si>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</si>
  <si>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</si>
  <si>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</si>
  <si>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</si>
  <si>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</si>
  <si>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</si>
  <si>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</si>
  <si>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</si>
  <si>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</si>
  <si>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</si>
  <si>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</si>
  <si>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</si>
  <si>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</si>
  <si>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</si>
  <si>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</si>
  <si>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</si>
  <si>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</si>
  <si>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</si>
  <si>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</si>
  <si>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</si>
  <si>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</si>
  <si>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</si>
  <si>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</si>
  <si>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</si>
  <si>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</si>
  <si>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</si>
  <si>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</si>
  <si>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</si>
  <si>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</si>
  <si>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</si>
  <si>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</si>
  <si>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</si>
  <si>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</si>
  <si>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</si>
  <si>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</si>
  <si>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</si>
  <si>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</si>
  <si>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</si>
  <si>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</si>
  <si>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</si>
  <si>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</si>
  <si>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</si>
  <si>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</si>
  <si>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</si>
  <si>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</si>
  <si>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</si>
  <si>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</si>
  <si>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</si>
  <si>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</si>
  <si>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</si>
  <si>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</si>
  <si>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</si>
  <si>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</si>
  <si>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</si>
  <si>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</si>
  <si>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</si>
  <si>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</si>
  <si>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</si>
  <si>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</si>
  <si>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</si>
  <si>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</si>
  <si>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</si>
  <si>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</si>
  <si>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</si>
  <si>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</si>
  <si>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</si>
  <si>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</si>
  <si>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</si>
  <si>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</si>
  <si>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</si>
  <si>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</si>
  <si>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</si>
  <si>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</si>
  <si>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</si>
  <si>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</si>
  <si>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</si>
  <si>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</si>
  <si>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</si>
  <si>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</si>
  <si>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</si>
  <si>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</si>
  <si>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</si>
  <si>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</si>
  <si>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</si>
  <si>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</si>
  <si>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</si>
  <si>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</si>
  <si>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</si>
  <si>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</si>
  <si>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</si>
  <si>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</si>
  <si>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</si>
  <si>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</si>
  <si>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</si>
  <si>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</si>
  <si>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</si>
  <si>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</si>
  <si>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</si>
  <si>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</si>
  <si>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</si>
  <si>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</si>
  <si>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</si>
  <si>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</si>
  <si>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</si>
  <si>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</si>
  <si>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Papp Ildikó bv. őrgy.</t>
  </si>
  <si>
    <t>Baklerné Ingisch Ildikó bv. fhdgy.</t>
  </si>
  <si>
    <t>123-3103</t>
  </si>
  <si>
    <t>Pécs,2008. június 10</t>
  </si>
  <si>
    <t>Baklerné Ingisch Ildikó bv.fhdgy.</t>
  </si>
  <si>
    <t>Pécs,2008 . június 10.</t>
  </si>
  <si>
    <t>Pécs, 2008. június 10.</t>
  </si>
  <si>
    <t>Pécs, 2008.június 10.</t>
  </si>
  <si>
    <t>Pécs,2008. június 10.</t>
  </si>
  <si>
    <t>Bodró</t>
  </si>
  <si>
    <t>Gengel</t>
  </si>
  <si>
    <t>Király jut</t>
  </si>
  <si>
    <t>Kovácsné jut</t>
  </si>
  <si>
    <t>Pécs,  2008. június  10.</t>
  </si>
  <si>
    <t>Szekeres János</t>
  </si>
  <si>
    <t>Szlavinics</t>
  </si>
  <si>
    <t>Kovácsné</t>
  </si>
  <si>
    <t>Kaszás</t>
  </si>
  <si>
    <t>Szlavin</t>
  </si>
  <si>
    <t>Dékány</t>
  </si>
  <si>
    <t>Papp Ildikó bv.őrgy.</t>
  </si>
  <si>
    <t>Pécs,2008.június 10.</t>
  </si>
  <si>
    <t>Szlavinicsné</t>
  </si>
  <si>
    <t>Kovács Gy.</t>
  </si>
  <si>
    <t>Pécs,2008. június 20.</t>
  </si>
  <si>
    <t>Pécs, 2008. június 17.</t>
  </si>
  <si>
    <t>Pécs, 2008. június 19.</t>
  </si>
  <si>
    <t xml:space="preserve">Baklerné Ingisch Ildikó bv. fhdgy. </t>
  </si>
  <si>
    <t>Pécs, 2008. július 18.</t>
  </si>
  <si>
    <t>Pécs, 2008.július 18.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</si>
</sst>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32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30" fillId="0" borderId="16" xfId="0" applyNumberFormat="1" applyFont="1" applyBorder="1" applyAlignment="1" applyProtection="1">
      <alignment/>
      <protection hidden="1"/>
    </xf>
    <xf numFmtId="3" fontId="30" fillId="0" borderId="0" xfId="0" applyNumberFormat="1" applyFont="1" applyBorder="1" applyAlignment="1" applyProtection="1">
      <alignment/>
      <protection hidden="1"/>
    </xf>
    <xf numFmtId="3" fontId="31" fillId="0" borderId="16" xfId="0" applyNumberFormat="1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3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 quotePrefix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3" xfId="0" applyNumberForma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67" t="s">
        <v>202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4" spans="1:15" ht="12.75">
      <c r="A4" s="168" t="s">
        <v>207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5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7" spans="1:15" ht="12.75" customHeight="1">
      <c r="A7" s="168" t="s">
        <v>204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</row>
    <row r="8" spans="1:15" ht="12.7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</row>
    <row r="11" spans="1:15" ht="12.75">
      <c r="A11" s="167" t="s">
        <v>203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</row>
    <row r="13" spans="1:15" ht="12.75" customHeight="1">
      <c r="A13" s="168" t="s">
        <v>206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</row>
    <row r="14" spans="1:15" ht="12.7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</row>
    <row r="15" spans="1:15" ht="12.7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7" spans="1:15" ht="12.75" customHeight="1">
      <c r="A17" s="168" t="s">
        <v>205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</row>
    <row r="18" spans="1:15" ht="12.75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</row>
    <row r="19" spans="1:15" ht="12.7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4">
      <selection activeCell="C46" sqref="C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5.1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212</v>
      </c>
      <c r="L2" s="179"/>
    </row>
    <row r="3" spans="1:12" ht="12.75">
      <c r="A3" s="3"/>
      <c r="H3" s="4"/>
      <c r="I3" s="4"/>
      <c r="J3" s="5" t="s">
        <v>77</v>
      </c>
      <c r="K3" s="178" t="s">
        <v>210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90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257460</v>
      </c>
      <c r="D17" s="41"/>
      <c r="E17" s="41"/>
      <c r="F17" s="41"/>
      <c r="G17" s="41">
        <v>40000</v>
      </c>
      <c r="H17" s="41"/>
      <c r="I17" s="41"/>
      <c r="J17" s="41">
        <v>21455</v>
      </c>
      <c r="K17" s="42">
        <f t="shared" si="0"/>
        <v>318915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f>137000+137000</f>
        <v>274000</v>
      </c>
      <c r="D23" s="41"/>
      <c r="E23" s="41"/>
      <c r="F23" s="41"/>
      <c r="G23" s="41"/>
      <c r="H23" s="41"/>
      <c r="I23" s="41"/>
      <c r="J23" s="41">
        <v>11417</v>
      </c>
      <c r="K23" s="42">
        <f t="shared" si="0"/>
        <v>285417</v>
      </c>
      <c r="L23" s="41"/>
      <c r="M23" s="41">
        <v>2</v>
      </c>
      <c r="N23" s="41"/>
    </row>
    <row r="24" spans="1:14" ht="12.75">
      <c r="A24" s="39" t="s">
        <v>32</v>
      </c>
      <c r="B24" s="40">
        <v>83</v>
      </c>
      <c r="C24" s="41">
        <f>115900+97800</f>
        <v>213700</v>
      </c>
      <c r="D24" s="41"/>
      <c r="E24" s="41"/>
      <c r="F24" s="41"/>
      <c r="G24" s="41"/>
      <c r="H24" s="41"/>
      <c r="I24" s="41"/>
      <c r="J24" s="41">
        <f>9658+8150</f>
        <v>17808</v>
      </c>
      <c r="K24" s="42">
        <f t="shared" si="0"/>
        <v>231508</v>
      </c>
      <c r="L24" s="41"/>
      <c r="M24" s="41">
        <v>2</v>
      </c>
      <c r="N24" s="41"/>
    </row>
    <row r="25" spans="1:14" ht="12.75">
      <c r="A25" s="39" t="s">
        <v>33</v>
      </c>
      <c r="B25" s="40">
        <v>84</v>
      </c>
      <c r="C25" s="41">
        <f>135300+109300+174800+144300+137700+126100+118900+142700</f>
        <v>1089100</v>
      </c>
      <c r="D25" s="41"/>
      <c r="E25" s="41"/>
      <c r="F25" s="41"/>
      <c r="G25" s="41">
        <v>15000</v>
      </c>
      <c r="H25" s="41"/>
      <c r="I25" s="41"/>
      <c r="J25" s="41">
        <f>11275+9108+14567+12025+11475+10508+9908+11892</f>
        <v>90758</v>
      </c>
      <c r="K25" s="42">
        <f t="shared" si="0"/>
        <v>1194858</v>
      </c>
      <c r="L25" s="41"/>
      <c r="M25" s="41">
        <v>8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f>179216+185900</f>
        <v>365116</v>
      </c>
      <c r="D27" s="41"/>
      <c r="E27" s="41"/>
      <c r="F27" s="41"/>
      <c r="G27" s="41">
        <v>10000</v>
      </c>
      <c r="H27" s="41"/>
      <c r="I27" s="41"/>
      <c r="J27" s="41">
        <f>14935+15492</f>
        <v>30427</v>
      </c>
      <c r="K27" s="42">
        <f t="shared" si="0"/>
        <v>405543</v>
      </c>
      <c r="L27" s="41">
        <v>18000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251400</v>
      </c>
      <c r="D29" s="41"/>
      <c r="E29" s="41"/>
      <c r="F29" s="41"/>
      <c r="G29" s="41">
        <v>30000</v>
      </c>
      <c r="H29" s="41"/>
      <c r="I29" s="41"/>
      <c r="J29" s="41">
        <v>20950</v>
      </c>
      <c r="K29" s="42">
        <f t="shared" si="0"/>
        <v>302350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2450776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0</v>
      </c>
      <c r="I32" s="45">
        <f t="shared" si="1"/>
        <v>0</v>
      </c>
      <c r="J32" s="45">
        <f t="shared" si="1"/>
        <v>192815</v>
      </c>
      <c r="K32" s="42">
        <f t="shared" si="0"/>
        <v>2738591</v>
      </c>
      <c r="L32" s="45">
        <f>SUM(L12:L31)</f>
        <v>18000</v>
      </c>
      <c r="M32" s="45">
        <f>SUM(M12:M31)</f>
        <v>16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3865</v>
      </c>
      <c r="G42" s="41">
        <f>92760+6957</f>
        <v>99717</v>
      </c>
      <c r="H42" s="41"/>
      <c r="I42" s="41"/>
      <c r="J42" s="41">
        <v>44834</v>
      </c>
      <c r="K42" s="42">
        <f t="shared" si="0"/>
        <v>582842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f>289875+289875</f>
        <v>579750</v>
      </c>
      <c r="D43" s="41">
        <f>28988+26669</f>
        <v>55657</v>
      </c>
      <c r="E43" s="41">
        <f>86963+86963</f>
        <v>173926</v>
      </c>
      <c r="F43" s="41">
        <f>23190+3865</f>
        <v>27055</v>
      </c>
      <c r="G43" s="41">
        <f>57975+57975+4831</f>
        <v>120781</v>
      </c>
      <c r="H43" s="41"/>
      <c r="I43" s="41"/>
      <c r="J43" s="41">
        <f>40985+38779</f>
        <v>79764</v>
      </c>
      <c r="K43" s="42">
        <f t="shared" si="0"/>
        <v>1036933</v>
      </c>
      <c r="L43" s="41">
        <v>18400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102038</v>
      </c>
      <c r="E44" s="41">
        <v>324660</v>
      </c>
      <c r="F44" s="41"/>
      <c r="G44" s="41">
        <f>108220+5798+4831</f>
        <v>118849</v>
      </c>
      <c r="H44" s="41"/>
      <c r="I44" s="41"/>
      <c r="J44" s="41">
        <v>135645</v>
      </c>
      <c r="K44" s="42">
        <f t="shared" si="0"/>
        <v>1763392</v>
      </c>
      <c r="L44" s="41">
        <v>73600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1820416</v>
      </c>
      <c r="D45" s="41">
        <v>215284</v>
      </c>
      <c r="E45" s="41">
        <v>546128</v>
      </c>
      <c r="F45" s="41">
        <v>141901</v>
      </c>
      <c r="G45" s="41">
        <f>15460+9663+33820</f>
        <v>58943</v>
      </c>
      <c r="H45" s="41"/>
      <c r="I45" s="41"/>
      <c r="J45" s="41">
        <v>227715</v>
      </c>
      <c r="K45" s="42">
        <f t="shared" si="0"/>
        <v>3010387</v>
      </c>
      <c r="L45" s="41">
        <f>12354+46000</f>
        <v>58354</v>
      </c>
      <c r="M45" s="41">
        <v>9</v>
      </c>
      <c r="N45" s="41">
        <v>16</v>
      </c>
    </row>
    <row r="46" spans="1:14" ht="12.75">
      <c r="A46" s="48" t="s">
        <v>63</v>
      </c>
      <c r="B46" s="40">
        <v>120</v>
      </c>
      <c r="C46" s="41">
        <f>8051625+42331</f>
        <v>8093956</v>
      </c>
      <c r="D46" s="41">
        <f>1075108+6994</f>
        <v>1082102</v>
      </c>
      <c r="E46" s="41">
        <f>1303409+6350</f>
        <v>1309759</v>
      </c>
      <c r="F46" s="41">
        <v>104907</v>
      </c>
      <c r="G46" s="41">
        <f>72661+38650+3378+15460+1360480+105612+369309+21470</f>
        <v>1987020</v>
      </c>
      <c r="H46" s="41"/>
      <c r="I46" s="41"/>
      <c r="J46" s="41">
        <f>872471-20461</f>
        <v>852010</v>
      </c>
      <c r="K46" s="42">
        <f t="shared" si="0"/>
        <v>13429754</v>
      </c>
      <c r="L46" s="41">
        <f>338034+57525+5325</f>
        <v>400884</v>
      </c>
      <c r="M46" s="41">
        <v>67</v>
      </c>
      <c r="N46" s="41">
        <v>73</v>
      </c>
    </row>
    <row r="47" spans="1:14" ht="12.75">
      <c r="A47" s="44" t="s">
        <v>74</v>
      </c>
      <c r="B47" s="45">
        <v>121</v>
      </c>
      <c r="C47" s="45">
        <f>SUM(C40:C46)</f>
        <v>11885522</v>
      </c>
      <c r="D47" s="45">
        <f aca="true" t="shared" si="3" ref="D47:J47">SUM(D40:D46)</f>
        <v>1487547</v>
      </c>
      <c r="E47" s="45">
        <f t="shared" si="3"/>
        <v>2447233</v>
      </c>
      <c r="F47" s="45">
        <f t="shared" si="3"/>
        <v>277728</v>
      </c>
      <c r="G47" s="45">
        <f t="shared" si="3"/>
        <v>2385310</v>
      </c>
      <c r="H47" s="45">
        <f t="shared" si="3"/>
        <v>0</v>
      </c>
      <c r="I47" s="45">
        <f t="shared" si="3"/>
        <v>0</v>
      </c>
      <c r="J47" s="45">
        <f t="shared" si="3"/>
        <v>1339968</v>
      </c>
      <c r="K47" s="42">
        <f t="shared" si="0"/>
        <v>19823308</v>
      </c>
      <c r="L47" s="45">
        <f>SUM(L40:L46)</f>
        <v>551238</v>
      </c>
      <c r="M47" s="45">
        <f>SUM(M40:M46)</f>
        <v>83</v>
      </c>
      <c r="N47" s="45">
        <f>SUM(N40:N46)</f>
        <v>96</v>
      </c>
    </row>
    <row r="48" spans="1:14" ht="12.75">
      <c r="A48" s="44" t="s">
        <v>119</v>
      </c>
      <c r="B48" s="45">
        <v>152</v>
      </c>
      <c r="C48" s="45">
        <f>C32+C39+C47</f>
        <v>14336298</v>
      </c>
      <c r="D48" s="45">
        <f aca="true" t="shared" si="4" ref="D48:J48">D32+D39+D47</f>
        <v>1487547</v>
      </c>
      <c r="E48" s="45">
        <f t="shared" si="4"/>
        <v>2447233</v>
      </c>
      <c r="F48" s="45">
        <f t="shared" si="4"/>
        <v>277728</v>
      </c>
      <c r="G48" s="45">
        <f t="shared" si="4"/>
        <v>2480310</v>
      </c>
      <c r="H48" s="45">
        <f t="shared" si="4"/>
        <v>0</v>
      </c>
      <c r="I48" s="45">
        <f t="shared" si="4"/>
        <v>0</v>
      </c>
      <c r="J48" s="45">
        <f t="shared" si="4"/>
        <v>1532783</v>
      </c>
      <c r="K48" s="42">
        <f t="shared" si="0"/>
        <v>22561899</v>
      </c>
      <c r="L48" s="45">
        <f>L32+L39+L47</f>
        <v>569238</v>
      </c>
      <c r="M48" s="45">
        <f>M32+M39+M47</f>
        <v>99</v>
      </c>
      <c r="N48" s="45">
        <f>N32+N39+N47</f>
        <v>103</v>
      </c>
    </row>
    <row r="49" spans="1:14" ht="12.75">
      <c r="A49" s="44" t="s">
        <v>51</v>
      </c>
      <c r="B49" s="45">
        <v>158</v>
      </c>
      <c r="C49" s="49">
        <v>614650</v>
      </c>
      <c r="D49" s="49"/>
      <c r="E49" s="49"/>
      <c r="F49" s="49"/>
      <c r="G49" s="49">
        <v>20000</v>
      </c>
      <c r="H49" s="49"/>
      <c r="I49" s="49"/>
      <c r="J49" s="49">
        <v>51221</v>
      </c>
      <c r="K49" s="42">
        <f t="shared" si="0"/>
        <v>685871</v>
      </c>
      <c r="L49" s="49"/>
      <c r="M49" s="49">
        <v>4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14950948</v>
      </c>
      <c r="D50" s="45">
        <f aca="true" t="shared" si="5" ref="D50:J50">D48+D49</f>
        <v>1487547</v>
      </c>
      <c r="E50" s="45">
        <f t="shared" si="5"/>
        <v>2447233</v>
      </c>
      <c r="F50" s="45">
        <f t="shared" si="5"/>
        <v>277728</v>
      </c>
      <c r="G50" s="45">
        <f t="shared" si="5"/>
        <v>2500310</v>
      </c>
      <c r="H50" s="45">
        <f t="shared" si="5"/>
        <v>0</v>
      </c>
      <c r="I50" s="45">
        <f t="shared" si="5"/>
        <v>0</v>
      </c>
      <c r="J50" s="45">
        <f t="shared" si="5"/>
        <v>1584004</v>
      </c>
      <c r="K50" s="42">
        <f t="shared" si="0"/>
        <v>23247770</v>
      </c>
      <c r="L50" s="45">
        <f>L48+L49</f>
        <v>569238</v>
      </c>
      <c r="M50" s="45">
        <f>M48+M49</f>
        <v>103</v>
      </c>
      <c r="N50" s="45">
        <f>N48+N49</f>
        <v>107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42331</v>
      </c>
      <c r="D55" s="55">
        <v>6994</v>
      </c>
      <c r="E55" s="55">
        <v>6350</v>
      </c>
      <c r="F55" s="55"/>
      <c r="G55" s="55">
        <f>7362+1933+12175</f>
        <v>21470</v>
      </c>
      <c r="H55" s="55"/>
      <c r="I55" s="55"/>
      <c r="J55" s="55">
        <v>-20461</v>
      </c>
      <c r="K55" s="116">
        <f>SUM(C55+D55+E55+F55+G55+H55+I55+J55)</f>
        <v>56684</v>
      </c>
      <c r="L55" s="55">
        <v>5325</v>
      </c>
      <c r="M55" s="56">
        <v>1</v>
      </c>
      <c r="N55" s="162" t="s">
        <v>222</v>
      </c>
      <c r="O55" s="16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 t="s">
        <v>214</v>
      </c>
      <c r="C60" s="164"/>
      <c r="D60" s="164"/>
      <c r="E60" s="62"/>
    </row>
    <row r="61" spans="10:11" ht="12.75">
      <c r="J61" s="189" t="s">
        <v>208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3"/>
  <sheetViews>
    <sheetView zoomScale="75" zoomScaleNormal="75" zoomScalePageLayoutView="0" workbookViewId="0" topLeftCell="A1">
      <selection activeCell="C46" sqref="C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5.1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 t="s">
        <v>212</v>
      </c>
      <c r="I2" s="179"/>
    </row>
    <row r="3" spans="1:9" ht="12.75">
      <c r="A3" s="3"/>
      <c r="G3" s="5" t="s">
        <v>77</v>
      </c>
      <c r="H3" s="178" t="s">
        <v>210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167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92485</v>
      </c>
      <c r="D17" s="41"/>
      <c r="E17" s="41">
        <v>9567</v>
      </c>
      <c r="F17" s="41">
        <v>1950</v>
      </c>
      <c r="G17" s="41"/>
      <c r="H17" s="41"/>
      <c r="I17" s="41"/>
      <c r="J17" s="42">
        <f t="shared" si="0"/>
        <v>104002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82771</v>
      </c>
      <c r="D23" s="41"/>
      <c r="E23" s="41">
        <v>8562</v>
      </c>
      <c r="F23" s="41">
        <v>3900</v>
      </c>
      <c r="G23" s="41"/>
      <c r="H23" s="41"/>
      <c r="I23" s="41"/>
      <c r="J23" s="42">
        <f t="shared" si="0"/>
        <v>95233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67137+C59</f>
        <v>101937</v>
      </c>
      <c r="D24" s="41"/>
      <c r="E24" s="41">
        <f>6945+E59</f>
        <v>10545</v>
      </c>
      <c r="F24" s="41">
        <v>3900</v>
      </c>
      <c r="G24" s="41"/>
      <c r="H24" s="41"/>
      <c r="I24" s="41"/>
      <c r="J24" s="42">
        <f t="shared" si="0"/>
        <v>116382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346509</v>
      </c>
      <c r="D25" s="41"/>
      <c r="E25" s="41">
        <v>35846</v>
      </c>
      <c r="F25" s="41">
        <v>15600</v>
      </c>
      <c r="G25" s="41"/>
      <c r="H25" s="41"/>
      <c r="I25" s="41"/>
      <c r="J25" s="42">
        <f t="shared" si="0"/>
        <v>397955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117607</v>
      </c>
      <c r="D27" s="41"/>
      <c r="E27" s="41">
        <v>12166</v>
      </c>
      <c r="F27" s="41">
        <v>3900</v>
      </c>
      <c r="G27" s="41"/>
      <c r="H27" s="41"/>
      <c r="I27" s="41"/>
      <c r="J27" s="42">
        <f t="shared" si="0"/>
        <v>133673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87682</v>
      </c>
      <c r="D29" s="41"/>
      <c r="E29" s="41">
        <v>9071</v>
      </c>
      <c r="F29" s="41">
        <v>1950</v>
      </c>
      <c r="G29" s="41"/>
      <c r="H29" s="41"/>
      <c r="I29" s="41"/>
      <c r="J29" s="42">
        <f t="shared" si="0"/>
        <v>98703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828991</v>
      </c>
      <c r="D32" s="45">
        <f>SUM(D12:D31)</f>
        <v>0</v>
      </c>
      <c r="E32" s="45">
        <f t="shared" si="1"/>
        <v>85757</v>
      </c>
      <c r="F32" s="45">
        <f t="shared" si="1"/>
        <v>31200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945948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169024</v>
      </c>
      <c r="D42" s="41"/>
      <c r="E42" s="41">
        <v>17485</v>
      </c>
      <c r="F42" s="41">
        <v>1950</v>
      </c>
      <c r="G42" s="41"/>
      <c r="H42" s="41"/>
      <c r="I42" s="41"/>
      <c r="J42" s="42">
        <f t="shared" si="0"/>
        <v>188459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300711</v>
      </c>
      <c r="D43" s="41"/>
      <c r="E43" s="41">
        <v>31108</v>
      </c>
      <c r="F43" s="41">
        <v>3900</v>
      </c>
      <c r="G43" s="41"/>
      <c r="H43" s="41"/>
      <c r="I43" s="41"/>
      <c r="J43" s="42">
        <f t="shared" si="0"/>
        <v>335719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511384</v>
      </c>
      <c r="D44" s="41"/>
      <c r="E44" s="41">
        <v>52902</v>
      </c>
      <c r="F44" s="41">
        <v>7800</v>
      </c>
      <c r="G44" s="41"/>
      <c r="H44" s="41"/>
      <c r="I44" s="41"/>
      <c r="J44" s="42">
        <f t="shared" si="0"/>
        <v>572086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873012</v>
      </c>
      <c r="D45" s="41"/>
      <c r="E45" s="41">
        <v>90312</v>
      </c>
      <c r="F45" s="41">
        <v>17550</v>
      </c>
      <c r="G45" s="41"/>
      <c r="H45" s="41"/>
      <c r="I45" s="41"/>
      <c r="J45" s="42">
        <f t="shared" si="0"/>
        <v>980874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f>3894629+C57+C56</f>
        <v>4016101</v>
      </c>
      <c r="D46" s="41"/>
      <c r="E46" s="41">
        <f>402893+E57+E55</f>
        <v>418867</v>
      </c>
      <c r="F46" s="41">
        <v>130650</v>
      </c>
      <c r="G46" s="41">
        <v>163259</v>
      </c>
      <c r="H46" s="41"/>
      <c r="I46" s="41"/>
      <c r="J46" s="42">
        <f t="shared" si="0"/>
        <v>4728877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5870232</v>
      </c>
      <c r="D47" s="45">
        <f>SUM(D40:D46)</f>
        <v>0</v>
      </c>
      <c r="E47" s="45">
        <f t="shared" si="3"/>
        <v>610674</v>
      </c>
      <c r="F47" s="45">
        <f t="shared" si="3"/>
        <v>161850</v>
      </c>
      <c r="G47" s="45">
        <f t="shared" si="3"/>
        <v>163259</v>
      </c>
      <c r="H47" s="45">
        <f t="shared" si="3"/>
        <v>0</v>
      </c>
      <c r="I47" s="45">
        <f t="shared" si="3"/>
        <v>0</v>
      </c>
      <c r="J47" s="42">
        <f t="shared" si="0"/>
        <v>6806015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6699223</v>
      </c>
      <c r="D48" s="45">
        <f>D32+D39+D47</f>
        <v>0</v>
      </c>
      <c r="E48" s="45">
        <f t="shared" si="4"/>
        <v>696431</v>
      </c>
      <c r="F48" s="45">
        <f t="shared" si="4"/>
        <v>193050</v>
      </c>
      <c r="G48" s="45">
        <f t="shared" si="4"/>
        <v>163259</v>
      </c>
      <c r="H48" s="45">
        <f t="shared" si="4"/>
        <v>0</v>
      </c>
      <c r="I48" s="45">
        <f t="shared" si="4"/>
        <v>0</v>
      </c>
      <c r="J48" s="42">
        <f t="shared" si="0"/>
        <v>7751963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f>198902+C58</f>
        <v>213402</v>
      </c>
      <c r="D49" s="49"/>
      <c r="E49" s="49">
        <f>20576+E58</f>
        <v>22076</v>
      </c>
      <c r="F49" s="49">
        <v>7001</v>
      </c>
      <c r="G49" s="49"/>
      <c r="H49" s="49"/>
      <c r="I49" s="49"/>
      <c r="J49" s="42">
        <f t="shared" si="0"/>
        <v>242479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6912625</v>
      </c>
      <c r="D50" s="45">
        <f>D48+D49</f>
        <v>0</v>
      </c>
      <c r="E50" s="45">
        <f t="shared" si="5"/>
        <v>718507</v>
      </c>
      <c r="F50" s="45">
        <f t="shared" si="5"/>
        <v>200051</v>
      </c>
      <c r="G50" s="45">
        <f t="shared" si="5"/>
        <v>163259</v>
      </c>
      <c r="H50" s="45">
        <f t="shared" si="5"/>
        <v>0</v>
      </c>
      <c r="I50" s="45">
        <f t="shared" si="5"/>
        <v>0</v>
      </c>
      <c r="J50" s="42">
        <f t="shared" si="0"/>
        <v>7994442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22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f>19793+3711+412</f>
        <v>23916</v>
      </c>
      <c r="D55" s="55"/>
      <c r="E55" s="55">
        <v>2474</v>
      </c>
      <c r="F55" s="55"/>
      <c r="G55" s="55"/>
      <c r="H55" s="55"/>
      <c r="I55" s="55"/>
      <c r="J55" s="128">
        <f>SUM(C55+D55+E55+F55+G55+H55+I55)</f>
        <v>26390</v>
      </c>
      <c r="K55" s="55">
        <v>10</v>
      </c>
      <c r="L55" s="56">
        <v>20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-9028</v>
      </c>
      <c r="D56" s="59"/>
      <c r="E56" s="59"/>
      <c r="F56" s="59"/>
      <c r="G56" s="59"/>
      <c r="H56" s="59"/>
      <c r="I56" s="59"/>
      <c r="J56" s="128">
        <f>SUM(C56+D56+E56+F56+G56+H56+I56)</f>
        <v>-9028</v>
      </c>
      <c r="K56" s="59"/>
      <c r="L56" s="60"/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f>300+2700+14400+14400+2700+300+300+2700+14400+750+6750+36000+300+2700+14400+300+2700+14400</f>
        <v>130500</v>
      </c>
      <c r="D57" s="59"/>
      <c r="E57" s="59">
        <v>13500</v>
      </c>
      <c r="F57" s="59"/>
      <c r="G57" s="59"/>
      <c r="H57" s="59"/>
      <c r="I57" s="59"/>
      <c r="J57" s="128">
        <f>SUM(C57+D57+E57+F57+G57+H57+I57)</f>
        <v>144000</v>
      </c>
      <c r="K57" s="59"/>
      <c r="L57" s="60"/>
      <c r="M57" s="129"/>
      <c r="N57" s="112"/>
      <c r="O57" s="114"/>
      <c r="P57" s="130"/>
    </row>
    <row r="58" spans="1:16" s="46" customFormat="1" ht="12.75">
      <c r="A58" s="58" t="s">
        <v>51</v>
      </c>
      <c r="B58" s="59"/>
      <c r="C58" s="59">
        <f>12000+2250+250</f>
        <v>14500</v>
      </c>
      <c r="D58" s="59"/>
      <c r="E58" s="59">
        <v>1500</v>
      </c>
      <c r="F58" s="59"/>
      <c r="G58" s="59"/>
      <c r="H58" s="59"/>
      <c r="I58" s="59"/>
      <c r="J58" s="128">
        <f>SUM(C58+D58+E58+F58+G58+H58+I58)</f>
        <v>16000</v>
      </c>
      <c r="K58" s="59"/>
      <c r="L58" s="60"/>
      <c r="M58" s="129"/>
      <c r="N58" s="112"/>
      <c r="O58" s="114"/>
      <c r="P58" s="130"/>
    </row>
    <row r="59" spans="1:16" ht="12.75">
      <c r="A59" s="58" t="s">
        <v>32</v>
      </c>
      <c r="B59" s="59">
        <f>IF(A59="","",VLOOKUP(A59,$A$12:$B$50,2,FALSE))</f>
        <v>83</v>
      </c>
      <c r="C59" s="59">
        <f>28800+5400+600</f>
        <v>34800</v>
      </c>
      <c r="D59" s="59"/>
      <c r="E59" s="59">
        <v>3600</v>
      </c>
      <c r="F59" s="59"/>
      <c r="G59" s="59"/>
      <c r="H59" s="59"/>
      <c r="I59" s="59"/>
      <c r="J59" s="128">
        <f>SUM(C59+D59+E59+F59+G59+H59+I59)</f>
        <v>38400</v>
      </c>
      <c r="K59" s="59"/>
      <c r="L59" s="60"/>
      <c r="M59" s="129"/>
      <c r="N59" s="112"/>
      <c r="O59" s="132"/>
      <c r="P59" s="43"/>
    </row>
    <row r="61" spans="1:6" ht="12.75">
      <c r="A61" s="61" t="s">
        <v>21</v>
      </c>
      <c r="B61" s="164" t="s">
        <v>214</v>
      </c>
      <c r="C61" s="164"/>
      <c r="D61" s="164"/>
      <c r="E61" s="164"/>
      <c r="F61" s="62"/>
    </row>
    <row r="62" spans="8:9" ht="12.75">
      <c r="H62" s="189" t="s">
        <v>208</v>
      </c>
      <c r="I62" s="189"/>
    </row>
    <row r="63" spans="8:9" ht="12.75">
      <c r="H63" s="188" t="s">
        <v>48</v>
      </c>
      <c r="I63" s="188"/>
    </row>
  </sheetData>
  <sheetProtection/>
  <mergeCells count="10">
    <mergeCell ref="B61:E61"/>
    <mergeCell ref="H62:I62"/>
    <mergeCell ref="H63:I63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9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25" sqref="C2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5.87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209</v>
      </c>
      <c r="L2" s="179"/>
    </row>
    <row r="3" spans="1:12" ht="12.75">
      <c r="A3" s="3"/>
      <c r="H3" s="4"/>
      <c r="I3" s="4"/>
      <c r="J3" s="5" t="s">
        <v>77</v>
      </c>
      <c r="K3" s="178" t="s">
        <v>210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91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257460</v>
      </c>
      <c r="D17" s="41"/>
      <c r="E17" s="41"/>
      <c r="F17" s="41"/>
      <c r="G17" s="41">
        <v>40000</v>
      </c>
      <c r="H17" s="41"/>
      <c r="I17" s="41"/>
      <c r="J17" s="41">
        <v>21455</v>
      </c>
      <c r="K17" s="42">
        <f t="shared" si="0"/>
        <v>318915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f>137000-6524</f>
        <v>130476</v>
      </c>
      <c r="D23" s="41"/>
      <c r="E23" s="41"/>
      <c r="F23" s="41"/>
      <c r="G23" s="41"/>
      <c r="H23" s="41"/>
      <c r="I23" s="41"/>
      <c r="J23" s="41">
        <v>-11021</v>
      </c>
      <c r="K23" s="42">
        <f t="shared" si="0"/>
        <v>119455</v>
      </c>
      <c r="L23" s="41"/>
      <c r="M23" s="41">
        <v>1</v>
      </c>
      <c r="N23" s="41"/>
    </row>
    <row r="24" spans="1:14" ht="12.75">
      <c r="A24" s="39" t="s">
        <v>32</v>
      </c>
      <c r="B24" s="40">
        <v>83</v>
      </c>
      <c r="C24" s="41">
        <f>115900+97800</f>
        <v>213700</v>
      </c>
      <c r="D24" s="41"/>
      <c r="E24" s="41"/>
      <c r="F24" s="41"/>
      <c r="G24" s="41"/>
      <c r="H24" s="41"/>
      <c r="I24" s="41"/>
      <c r="J24" s="41">
        <f>9658+8150</f>
        <v>17808</v>
      </c>
      <c r="K24" s="42">
        <f t="shared" si="0"/>
        <v>231508</v>
      </c>
      <c r="L24" s="41">
        <v>5995</v>
      </c>
      <c r="M24" s="41">
        <v>2</v>
      </c>
      <c r="N24" s="41"/>
    </row>
    <row r="25" spans="1:14" ht="12.75">
      <c r="A25" s="39" t="s">
        <v>33</v>
      </c>
      <c r="B25" s="40">
        <v>84</v>
      </c>
      <c r="C25" s="41">
        <f>135300+109300+174800+142700+137700+126100+118900+87835</f>
        <v>1032635</v>
      </c>
      <c r="D25" s="41"/>
      <c r="E25" s="41"/>
      <c r="F25" s="41"/>
      <c r="G25" s="41">
        <v>15000</v>
      </c>
      <c r="H25" s="41"/>
      <c r="I25" s="41"/>
      <c r="J25" s="41">
        <f>11275+9108+14567+11892+11475+10508+9908-4409</f>
        <v>74324</v>
      </c>
      <c r="K25" s="42">
        <f t="shared" si="0"/>
        <v>1121959</v>
      </c>
      <c r="L25" s="41"/>
      <c r="M25" s="41">
        <v>9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f>179216+185900</f>
        <v>365116</v>
      </c>
      <c r="D27" s="41"/>
      <c r="E27" s="41"/>
      <c r="F27" s="41"/>
      <c r="G27" s="41">
        <v>10000</v>
      </c>
      <c r="H27" s="41"/>
      <c r="I27" s="41"/>
      <c r="J27" s="41">
        <f>14935+15492</f>
        <v>30427</v>
      </c>
      <c r="K27" s="42">
        <f t="shared" si="0"/>
        <v>405543</v>
      </c>
      <c r="L27" s="41">
        <v>18000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251400</v>
      </c>
      <c r="D29" s="41"/>
      <c r="E29" s="41"/>
      <c r="F29" s="41"/>
      <c r="G29" s="41">
        <v>30000</v>
      </c>
      <c r="H29" s="41"/>
      <c r="I29" s="41"/>
      <c r="J29" s="41">
        <v>20950</v>
      </c>
      <c r="K29" s="42">
        <f t="shared" si="0"/>
        <v>302350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2250787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0</v>
      </c>
      <c r="I32" s="45">
        <f t="shared" si="1"/>
        <v>0</v>
      </c>
      <c r="J32" s="45">
        <f t="shared" si="1"/>
        <v>153943</v>
      </c>
      <c r="K32" s="42">
        <f t="shared" si="0"/>
        <v>2499730</v>
      </c>
      <c r="L32" s="45">
        <f>SUM(L12:L31)</f>
        <v>23995</v>
      </c>
      <c r="M32" s="45">
        <f>SUM(M12:M31)</f>
        <v>16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3865</v>
      </c>
      <c r="G42" s="41">
        <f>92760+6957</f>
        <v>99717</v>
      </c>
      <c r="H42" s="41"/>
      <c r="I42" s="41"/>
      <c r="J42" s="41">
        <v>44834</v>
      </c>
      <c r="K42" s="42">
        <f t="shared" si="0"/>
        <v>582842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f>289875+289875</f>
        <v>579750</v>
      </c>
      <c r="D43" s="41">
        <f>28988+26669</f>
        <v>55657</v>
      </c>
      <c r="E43" s="41">
        <f>86963+86963</f>
        <v>173926</v>
      </c>
      <c r="F43" s="41">
        <f>23190+3865</f>
        <v>27055</v>
      </c>
      <c r="G43" s="41">
        <f>4831+57975+57975</f>
        <v>120781</v>
      </c>
      <c r="H43" s="41"/>
      <c r="I43" s="41"/>
      <c r="J43" s="41">
        <f>40985+38779</f>
        <v>79764</v>
      </c>
      <c r="K43" s="42">
        <f t="shared" si="0"/>
        <v>1036933</v>
      </c>
      <c r="L43" s="41">
        <v>22100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f>270550*4</f>
        <v>1082200</v>
      </c>
      <c r="D44" s="41">
        <f>24350+24350+26669+26669</f>
        <v>102038</v>
      </c>
      <c r="E44" s="41">
        <v>324660</v>
      </c>
      <c r="F44" s="41"/>
      <c r="G44" s="41">
        <f>10629+108220</f>
        <v>118849</v>
      </c>
      <c r="H44" s="41"/>
      <c r="I44" s="41"/>
      <c r="J44" s="41">
        <v>135645</v>
      </c>
      <c r="K44" s="42">
        <f t="shared" si="0"/>
        <v>1763392</v>
      </c>
      <c r="L44" s="41">
        <v>73600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1820416</v>
      </c>
      <c r="D45" s="41">
        <v>215284</v>
      </c>
      <c r="E45" s="41">
        <v>546128</v>
      </c>
      <c r="F45" s="41">
        <v>139140</v>
      </c>
      <c r="G45" s="41">
        <f>64326+15460+3865+26476</f>
        <v>110127</v>
      </c>
      <c r="H45" s="41"/>
      <c r="I45" s="41"/>
      <c r="J45" s="41">
        <v>227715</v>
      </c>
      <c r="K45" s="42">
        <f t="shared" si="0"/>
        <v>3058810</v>
      </c>
      <c r="L45" s="41">
        <f>71346+47852</f>
        <v>119198</v>
      </c>
      <c r="M45" s="41">
        <v>9</v>
      </c>
      <c r="N45" s="41">
        <v>16</v>
      </c>
    </row>
    <row r="46" spans="1:14" ht="12.75">
      <c r="A46" s="48" t="s">
        <v>63</v>
      </c>
      <c r="B46" s="40">
        <v>120</v>
      </c>
      <c r="C46" s="41">
        <v>8029539</v>
      </c>
      <c r="D46" s="41">
        <v>1071383</v>
      </c>
      <c r="E46" s="41">
        <v>1300096</v>
      </c>
      <c r="F46" s="41">
        <v>100490</v>
      </c>
      <c r="G46" s="41">
        <f>73628+38650+566585+19325+865760+129482+459168</f>
        <v>2152598</v>
      </c>
      <c r="H46" s="41"/>
      <c r="I46" s="41"/>
      <c r="J46" s="41">
        <v>904344</v>
      </c>
      <c r="K46" s="42">
        <f t="shared" si="0"/>
        <v>13558450</v>
      </c>
      <c r="L46" s="41">
        <f>1410007+41850</f>
        <v>1451857</v>
      </c>
      <c r="M46" s="41">
        <v>69</v>
      </c>
      <c r="N46" s="41">
        <v>73</v>
      </c>
    </row>
    <row r="47" spans="1:14" ht="12.75">
      <c r="A47" s="44" t="s">
        <v>74</v>
      </c>
      <c r="B47" s="45">
        <v>121</v>
      </c>
      <c r="C47" s="45">
        <f>SUM(C40:C46)</f>
        <v>11821105</v>
      </c>
      <c r="D47" s="45">
        <f aca="true" t="shared" si="3" ref="D47:J47">SUM(D40:D46)</f>
        <v>1476828</v>
      </c>
      <c r="E47" s="45">
        <f t="shared" si="3"/>
        <v>2437570</v>
      </c>
      <c r="F47" s="45">
        <f t="shared" si="3"/>
        <v>270550</v>
      </c>
      <c r="G47" s="45">
        <f t="shared" si="3"/>
        <v>2602072</v>
      </c>
      <c r="H47" s="45">
        <f t="shared" si="3"/>
        <v>0</v>
      </c>
      <c r="I47" s="45">
        <f t="shared" si="3"/>
        <v>0</v>
      </c>
      <c r="J47" s="45">
        <f t="shared" si="3"/>
        <v>1392302</v>
      </c>
      <c r="K47" s="42">
        <f t="shared" si="0"/>
        <v>20000427</v>
      </c>
      <c r="L47" s="45">
        <f>SUM(L40:L46)</f>
        <v>1666755</v>
      </c>
      <c r="M47" s="45">
        <f>SUM(M40:M46)</f>
        <v>85</v>
      </c>
      <c r="N47" s="45">
        <f>SUM(N40:N46)</f>
        <v>96</v>
      </c>
    </row>
    <row r="48" spans="1:14" ht="12.75">
      <c r="A48" s="44" t="s">
        <v>119</v>
      </c>
      <c r="B48" s="45">
        <v>152</v>
      </c>
      <c r="C48" s="45">
        <f>C32+C39+C47</f>
        <v>14071892</v>
      </c>
      <c r="D48" s="45">
        <f aca="true" t="shared" si="4" ref="D48:J48">D32+D39+D47</f>
        <v>1476828</v>
      </c>
      <c r="E48" s="45">
        <f t="shared" si="4"/>
        <v>2437570</v>
      </c>
      <c r="F48" s="45">
        <f t="shared" si="4"/>
        <v>270550</v>
      </c>
      <c r="G48" s="45">
        <f t="shared" si="4"/>
        <v>2697072</v>
      </c>
      <c r="H48" s="45">
        <f t="shared" si="4"/>
        <v>0</v>
      </c>
      <c r="I48" s="45">
        <f t="shared" si="4"/>
        <v>0</v>
      </c>
      <c r="J48" s="45">
        <f t="shared" si="4"/>
        <v>1546245</v>
      </c>
      <c r="K48" s="42">
        <f t="shared" si="0"/>
        <v>22500157</v>
      </c>
      <c r="L48" s="45">
        <f>L32+L39+L47</f>
        <v>1690750</v>
      </c>
      <c r="M48" s="45">
        <f>M32+M39+M47</f>
        <v>101</v>
      </c>
      <c r="N48" s="45">
        <f>N32+N39+N47</f>
        <v>103</v>
      </c>
    </row>
    <row r="49" spans="1:14" ht="12.75">
      <c r="A49" s="44" t="s">
        <v>51</v>
      </c>
      <c r="B49" s="45">
        <v>158</v>
      </c>
      <c r="C49" s="49">
        <v>614650</v>
      </c>
      <c r="D49" s="49"/>
      <c r="E49" s="49"/>
      <c r="F49" s="49"/>
      <c r="G49" s="49">
        <v>20000</v>
      </c>
      <c r="H49" s="49"/>
      <c r="I49" s="49"/>
      <c r="J49" s="49">
        <v>51221</v>
      </c>
      <c r="K49" s="42">
        <f t="shared" si="0"/>
        <v>685871</v>
      </c>
      <c r="L49" s="49"/>
      <c r="M49" s="49">
        <v>4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14686542</v>
      </c>
      <c r="D50" s="45">
        <f aca="true" t="shared" si="5" ref="D50:J50">D48+D49</f>
        <v>1476828</v>
      </c>
      <c r="E50" s="45">
        <f t="shared" si="5"/>
        <v>2437570</v>
      </c>
      <c r="F50" s="45">
        <f t="shared" si="5"/>
        <v>270550</v>
      </c>
      <c r="G50" s="45">
        <f t="shared" si="5"/>
        <v>2717072</v>
      </c>
      <c r="H50" s="45">
        <f t="shared" si="5"/>
        <v>0</v>
      </c>
      <c r="I50" s="45">
        <f t="shared" si="5"/>
        <v>0</v>
      </c>
      <c r="J50" s="45">
        <f t="shared" si="5"/>
        <v>1597466</v>
      </c>
      <c r="K50" s="42">
        <f t="shared" si="0"/>
        <v>23186028</v>
      </c>
      <c r="L50" s="45">
        <f>L48+L49</f>
        <v>1690750</v>
      </c>
      <c r="M50" s="45">
        <f>M48+M49</f>
        <v>105</v>
      </c>
      <c r="N50" s="45">
        <f>N48+N49</f>
        <v>107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33</v>
      </c>
      <c r="B55" s="55">
        <f>IF(A55="","",VLOOKUP(A55,$A$12:$B$50,2,FALSE))</f>
        <v>84</v>
      </c>
      <c r="C55" s="55">
        <v>87835</v>
      </c>
      <c r="D55" s="55"/>
      <c r="E55" s="55"/>
      <c r="F55" s="55"/>
      <c r="G55" s="55"/>
      <c r="H55" s="55"/>
      <c r="I55" s="55"/>
      <c r="J55" s="55">
        <v>-4409</v>
      </c>
      <c r="K55" s="116">
        <f>SUM(C55+D55+E55+F55+G55+H55+I55+J55)</f>
        <v>83426</v>
      </c>
      <c r="L55" s="55"/>
      <c r="M55" s="56">
        <v>1</v>
      </c>
      <c r="N55" s="162" t="s">
        <v>230</v>
      </c>
      <c r="O55" s="163"/>
    </row>
    <row r="56" spans="1:15" ht="12.75">
      <c r="A56" s="58" t="s">
        <v>39</v>
      </c>
      <c r="B56" s="59">
        <f>IF(A56="","",VLOOKUP(A56,$A$12:$B$50,2,FALSE))</f>
        <v>82</v>
      </c>
      <c r="C56" s="59">
        <v>-6524</v>
      </c>
      <c r="D56" s="59"/>
      <c r="E56" s="59"/>
      <c r="F56" s="59"/>
      <c r="G56" s="59"/>
      <c r="H56" s="59"/>
      <c r="I56" s="59"/>
      <c r="J56" s="59">
        <v>-11021</v>
      </c>
      <c r="K56" s="116">
        <f>SUM(C56+D56+E56+F56+G56+H56+I56+J56)</f>
        <v>-17545</v>
      </c>
      <c r="L56" s="59"/>
      <c r="M56" s="60">
        <v>1</v>
      </c>
      <c r="N56" s="162" t="s">
        <v>231</v>
      </c>
      <c r="O56" s="16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 t="s">
        <v>229</v>
      </c>
      <c r="C60" s="164"/>
      <c r="D60" s="164"/>
      <c r="E60" s="62"/>
    </row>
    <row r="61" spans="10:11" ht="12.75">
      <c r="J61" s="189" t="s">
        <v>208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J55" sqref="J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6.87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 t="s">
        <v>209</v>
      </c>
      <c r="I2" s="179"/>
    </row>
    <row r="3" spans="1:9" ht="12.75">
      <c r="A3" s="3"/>
      <c r="G3" s="5" t="s">
        <v>77</v>
      </c>
      <c r="H3" s="178" t="s">
        <v>210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168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92485</v>
      </c>
      <c r="D17" s="41"/>
      <c r="E17" s="41">
        <v>9567</v>
      </c>
      <c r="F17" s="41">
        <v>1950</v>
      </c>
      <c r="G17" s="41"/>
      <c r="H17" s="41"/>
      <c r="I17" s="41"/>
      <c r="J17" s="42">
        <f t="shared" si="0"/>
        <v>104002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39730+1784</f>
        <v>41514</v>
      </c>
      <c r="D23" s="41"/>
      <c r="E23" s="41">
        <v>4110</v>
      </c>
      <c r="F23" s="41">
        <v>1950</v>
      </c>
      <c r="G23" s="41"/>
      <c r="H23" s="41"/>
      <c r="I23" s="41"/>
      <c r="J23" s="42">
        <f t="shared" si="0"/>
        <v>47574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67137</f>
        <v>67137</v>
      </c>
      <c r="D24" s="41"/>
      <c r="E24" s="41">
        <f>6945+360</f>
        <v>7305</v>
      </c>
      <c r="F24" s="41">
        <v>3900</v>
      </c>
      <c r="G24" s="41"/>
      <c r="H24" s="41"/>
      <c r="I24" s="41"/>
      <c r="J24" s="42">
        <f t="shared" si="0"/>
        <v>78342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301174+32835</f>
        <v>334009</v>
      </c>
      <c r="D25" s="41"/>
      <c r="E25" s="41">
        <f>31156+3084</f>
        <v>34240</v>
      </c>
      <c r="F25" s="41">
        <v>15600</v>
      </c>
      <c r="G25" s="41"/>
      <c r="H25" s="41"/>
      <c r="I25" s="41"/>
      <c r="J25" s="42">
        <f t="shared" si="0"/>
        <v>383849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122827</v>
      </c>
      <c r="D27" s="41"/>
      <c r="E27" s="41">
        <v>12706</v>
      </c>
      <c r="F27" s="41">
        <v>3900</v>
      </c>
      <c r="G27" s="41"/>
      <c r="H27" s="41"/>
      <c r="I27" s="41"/>
      <c r="J27" s="42">
        <f t="shared" si="0"/>
        <v>139433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87682</v>
      </c>
      <c r="D29" s="41"/>
      <c r="E29" s="41">
        <v>9071</v>
      </c>
      <c r="F29" s="41">
        <v>1950</v>
      </c>
      <c r="G29" s="41"/>
      <c r="H29" s="41"/>
      <c r="I29" s="41"/>
      <c r="J29" s="42">
        <f t="shared" si="0"/>
        <v>98703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745654</v>
      </c>
      <c r="D32" s="45">
        <f>SUM(D12:D31)</f>
        <v>0</v>
      </c>
      <c r="E32" s="45">
        <f t="shared" si="1"/>
        <v>76999</v>
      </c>
      <c r="F32" s="45">
        <f t="shared" si="1"/>
        <v>29250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851903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169024</v>
      </c>
      <c r="D42" s="41"/>
      <c r="E42" s="41">
        <v>17485</v>
      </c>
      <c r="F42" s="41">
        <v>1950</v>
      </c>
      <c r="G42" s="41"/>
      <c r="H42" s="41"/>
      <c r="I42" s="41"/>
      <c r="J42" s="42">
        <f t="shared" si="0"/>
        <v>188459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307120</v>
      </c>
      <c r="D43" s="41"/>
      <c r="E43" s="41">
        <v>31771</v>
      </c>
      <c r="F43" s="41">
        <v>3900</v>
      </c>
      <c r="G43" s="41"/>
      <c r="H43" s="41"/>
      <c r="I43" s="41"/>
      <c r="J43" s="42">
        <f t="shared" si="0"/>
        <v>342791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511384</v>
      </c>
      <c r="D44" s="41"/>
      <c r="E44" s="41">
        <v>55110</v>
      </c>
      <c r="F44" s="41">
        <v>7800</v>
      </c>
      <c r="G44" s="41"/>
      <c r="H44" s="41"/>
      <c r="I44" s="41"/>
      <c r="J44" s="42">
        <f t="shared" si="0"/>
        <v>574294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921622</v>
      </c>
      <c r="D45" s="41"/>
      <c r="E45" s="41">
        <v>95340</v>
      </c>
      <c r="F45" s="41">
        <v>17550</v>
      </c>
      <c r="G45" s="41"/>
      <c r="H45" s="41"/>
      <c r="I45" s="41"/>
      <c r="J45" s="42">
        <f t="shared" si="0"/>
        <v>1034512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f>4352989-39560</f>
        <v>4313429</v>
      </c>
      <c r="D46" s="41"/>
      <c r="E46" s="41">
        <v>430530</v>
      </c>
      <c r="F46" s="41">
        <v>117130</v>
      </c>
      <c r="G46" s="41">
        <v>173490</v>
      </c>
      <c r="H46" s="41"/>
      <c r="I46" s="41"/>
      <c r="J46" s="42">
        <f t="shared" si="0"/>
        <v>5034579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6222579</v>
      </c>
      <c r="D47" s="45">
        <f>SUM(D40:D46)</f>
        <v>0</v>
      </c>
      <c r="E47" s="45">
        <f t="shared" si="3"/>
        <v>630236</v>
      </c>
      <c r="F47" s="45">
        <f t="shared" si="3"/>
        <v>148330</v>
      </c>
      <c r="G47" s="45">
        <f t="shared" si="3"/>
        <v>173490</v>
      </c>
      <c r="H47" s="45">
        <f t="shared" si="3"/>
        <v>0</v>
      </c>
      <c r="I47" s="45">
        <f t="shared" si="3"/>
        <v>0</v>
      </c>
      <c r="J47" s="42">
        <f t="shared" si="0"/>
        <v>7174635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6968233</v>
      </c>
      <c r="D48" s="45">
        <f>D32+D39+D47</f>
        <v>0</v>
      </c>
      <c r="E48" s="45">
        <f t="shared" si="4"/>
        <v>707235</v>
      </c>
      <c r="F48" s="45">
        <f t="shared" si="4"/>
        <v>177580</v>
      </c>
      <c r="G48" s="45">
        <f t="shared" si="4"/>
        <v>173490</v>
      </c>
      <c r="H48" s="45">
        <f t="shared" si="4"/>
        <v>0</v>
      </c>
      <c r="I48" s="45">
        <f t="shared" si="4"/>
        <v>0</v>
      </c>
      <c r="J48" s="42">
        <f t="shared" si="0"/>
        <v>8026538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198903</v>
      </c>
      <c r="D49" s="49"/>
      <c r="E49" s="49">
        <v>20575</v>
      </c>
      <c r="F49" s="49">
        <v>7001</v>
      </c>
      <c r="G49" s="49"/>
      <c r="H49" s="49"/>
      <c r="I49" s="49"/>
      <c r="J49" s="42">
        <f t="shared" si="0"/>
        <v>226479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7167136</v>
      </c>
      <c r="D50" s="45">
        <f>D48+D49</f>
        <v>0</v>
      </c>
      <c r="E50" s="45">
        <f t="shared" si="5"/>
        <v>727810</v>
      </c>
      <c r="F50" s="45">
        <f t="shared" si="5"/>
        <v>184581</v>
      </c>
      <c r="G50" s="45">
        <f t="shared" si="5"/>
        <v>173490</v>
      </c>
      <c r="H50" s="45">
        <f t="shared" si="5"/>
        <v>0</v>
      </c>
      <c r="I50" s="45">
        <f t="shared" si="5"/>
        <v>0</v>
      </c>
      <c r="J50" s="42">
        <f t="shared" si="0"/>
        <v>8253017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33</v>
      </c>
      <c r="B55" s="55">
        <f>IF(A55="","",VLOOKUP(A55,$A$12:$B$50,2,FALSE))</f>
        <v>84</v>
      </c>
      <c r="C55" s="55">
        <f>20022+3754+417+26+232+1238+123+1109+5914</f>
        <v>32835</v>
      </c>
      <c r="D55" s="55"/>
      <c r="E55" s="55">
        <f>2503+480+101</f>
        <v>3084</v>
      </c>
      <c r="F55" s="55"/>
      <c r="G55" s="55"/>
      <c r="H55" s="55"/>
      <c r="I55" s="55"/>
      <c r="J55" s="128">
        <f>SUM(C55+D55+E55+F55+G55+H55+I55)</f>
        <v>35919</v>
      </c>
      <c r="K55" s="55">
        <v>18</v>
      </c>
      <c r="L55" s="56">
        <v>23</v>
      </c>
      <c r="M55" s="129"/>
      <c r="N55" s="112"/>
      <c r="O55" s="114"/>
      <c r="P55" s="130"/>
    </row>
    <row r="56" spans="1:16" s="46" customFormat="1" ht="12.75">
      <c r="A56" s="58" t="s">
        <v>39</v>
      </c>
      <c r="B56" s="59">
        <f>IF(A56="","",VLOOKUP(A56,$A$12:$B$50,2,FALSE))</f>
        <v>82</v>
      </c>
      <c r="C56" s="59">
        <f>1477+92+832+235+26-496-55-294-33</f>
        <v>1784</v>
      </c>
      <c r="D56" s="59"/>
      <c r="E56" s="59">
        <f>360</f>
        <v>360</v>
      </c>
      <c r="F56" s="59"/>
      <c r="G56" s="59"/>
      <c r="H56" s="59"/>
      <c r="I56" s="59"/>
      <c r="J56" s="128">
        <f>SUM(C56+D56+E56+F56+G56+H56+I56)</f>
        <v>2144</v>
      </c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 t="s">
        <v>216</v>
      </c>
      <c r="C60" s="164"/>
      <c r="D60" s="164"/>
      <c r="E60" s="164"/>
      <c r="F60" s="62"/>
    </row>
    <row r="61" spans="8:9" ht="12.75">
      <c r="H61" s="189" t="s">
        <v>208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4">
      <selection activeCell="A44" sqref="A44:IV4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6.1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209</v>
      </c>
      <c r="L2" s="179"/>
    </row>
    <row r="3" spans="1:12" ht="12.75">
      <c r="A3" s="3"/>
      <c r="H3" s="4"/>
      <c r="I3" s="4"/>
      <c r="J3" s="5" t="s">
        <v>77</v>
      </c>
      <c r="K3" s="178" t="s">
        <v>210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92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257460</v>
      </c>
      <c r="D17" s="41"/>
      <c r="E17" s="41"/>
      <c r="F17" s="41"/>
      <c r="G17" s="41">
        <v>40000</v>
      </c>
      <c r="H17" s="41"/>
      <c r="I17" s="41"/>
      <c r="J17" s="41">
        <v>21455</v>
      </c>
      <c r="K17" s="42">
        <f t="shared" si="0"/>
        <v>318915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137000</v>
      </c>
      <c r="D23" s="41"/>
      <c r="E23" s="41"/>
      <c r="F23" s="41"/>
      <c r="G23" s="41"/>
      <c r="H23" s="41"/>
      <c r="I23" s="41"/>
      <c r="J23" s="41">
        <v>11417</v>
      </c>
      <c r="K23" s="42">
        <f t="shared" si="0"/>
        <v>148417</v>
      </c>
      <c r="L23" s="41"/>
      <c r="M23" s="41">
        <v>1</v>
      </c>
      <c r="N23" s="41"/>
    </row>
    <row r="24" spans="1:14" ht="12.75">
      <c r="A24" s="39" t="s">
        <v>32</v>
      </c>
      <c r="B24" s="40">
        <v>83</v>
      </c>
      <c r="C24" s="41">
        <f>115900+97800</f>
        <v>213700</v>
      </c>
      <c r="D24" s="41"/>
      <c r="E24" s="41"/>
      <c r="F24" s="41"/>
      <c r="G24" s="41"/>
      <c r="H24" s="41"/>
      <c r="I24" s="41"/>
      <c r="J24" s="41">
        <f>9658+8150</f>
        <v>17808</v>
      </c>
      <c r="K24" s="42">
        <f t="shared" si="0"/>
        <v>231508</v>
      </c>
      <c r="L24" s="41"/>
      <c r="M24" s="41">
        <v>2</v>
      </c>
      <c r="N24" s="41"/>
    </row>
    <row r="25" spans="1:14" ht="12.75">
      <c r="A25" s="39" t="s">
        <v>33</v>
      </c>
      <c r="B25" s="40">
        <v>84</v>
      </c>
      <c r="C25" s="41">
        <f>135300+109300+174800+142700+137700+126100+118900</f>
        <v>944800</v>
      </c>
      <c r="D25" s="41"/>
      <c r="E25" s="41"/>
      <c r="F25" s="41"/>
      <c r="G25" s="41">
        <v>15000</v>
      </c>
      <c r="H25" s="41"/>
      <c r="I25" s="41"/>
      <c r="J25" s="41">
        <f>11275+9108+14567+11892+11475+10508+9908</f>
        <v>78733</v>
      </c>
      <c r="K25" s="42">
        <f t="shared" si="0"/>
        <v>1038533</v>
      </c>
      <c r="L25" s="41"/>
      <c r="M25" s="41">
        <v>7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f>179216+185900</f>
        <v>365116</v>
      </c>
      <c r="D27" s="41"/>
      <c r="E27" s="41"/>
      <c r="F27" s="41"/>
      <c r="G27" s="41">
        <v>10000</v>
      </c>
      <c r="H27" s="41"/>
      <c r="I27" s="41"/>
      <c r="J27" s="41">
        <f>15492+14935</f>
        <v>30427</v>
      </c>
      <c r="K27" s="42">
        <f t="shared" si="0"/>
        <v>405543</v>
      </c>
      <c r="L27" s="41">
        <v>18000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251400</v>
      </c>
      <c r="D29" s="41"/>
      <c r="E29" s="41"/>
      <c r="F29" s="41"/>
      <c r="G29" s="41">
        <v>30000</v>
      </c>
      <c r="H29" s="41"/>
      <c r="I29" s="41"/>
      <c r="J29" s="41">
        <v>20950</v>
      </c>
      <c r="K29" s="42">
        <f t="shared" si="0"/>
        <v>302350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2169476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0</v>
      </c>
      <c r="I32" s="45">
        <f t="shared" si="1"/>
        <v>0</v>
      </c>
      <c r="J32" s="45">
        <f t="shared" si="1"/>
        <v>180790</v>
      </c>
      <c r="K32" s="42">
        <f t="shared" si="0"/>
        <v>2445266</v>
      </c>
      <c r="L32" s="45">
        <f>SUM(L12:L31)</f>
        <v>18000</v>
      </c>
      <c r="M32" s="45">
        <f>SUM(M12:M31)</f>
        <v>14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3865</v>
      </c>
      <c r="G42" s="41">
        <f>92760+7288</f>
        <v>100048</v>
      </c>
      <c r="H42" s="41"/>
      <c r="I42" s="41"/>
      <c r="J42" s="41"/>
      <c r="K42" s="42">
        <f t="shared" si="0"/>
        <v>538339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f>289875+289875</f>
        <v>579750</v>
      </c>
      <c r="D43" s="41">
        <f>28988+26669</f>
        <v>55657</v>
      </c>
      <c r="E43" s="41">
        <f>86963+86963</f>
        <v>173926</v>
      </c>
      <c r="F43" s="41">
        <f>23190+3865</f>
        <v>27055</v>
      </c>
      <c r="G43" s="41">
        <f>57975+57975+4831</f>
        <v>120781</v>
      </c>
      <c r="H43" s="41"/>
      <c r="I43" s="41"/>
      <c r="J43" s="41">
        <f>40985+38779</f>
        <v>79764</v>
      </c>
      <c r="K43" s="42">
        <f t="shared" si="0"/>
        <v>1036933</v>
      </c>
      <c r="L43" s="41">
        <v>19325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102038</v>
      </c>
      <c r="E44" s="41">
        <v>324660</v>
      </c>
      <c r="F44" s="41">
        <v>3865</v>
      </c>
      <c r="G44" s="41">
        <f>108220+5798+4831</f>
        <v>118849</v>
      </c>
      <c r="H44" s="41"/>
      <c r="I44" s="41"/>
      <c r="J44" s="41">
        <v>135645</v>
      </c>
      <c r="K44" s="42">
        <f t="shared" si="0"/>
        <v>1767257</v>
      </c>
      <c r="L44" s="41">
        <v>73600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1820416</v>
      </c>
      <c r="D45" s="41">
        <v>215284</v>
      </c>
      <c r="E45" s="41">
        <v>546128</v>
      </c>
      <c r="F45" s="41">
        <v>162330</v>
      </c>
      <c r="G45" s="41">
        <f>12354+15460+5798+26476</f>
        <v>60088</v>
      </c>
      <c r="H45" s="41"/>
      <c r="I45" s="41"/>
      <c r="J45" s="41">
        <v>228037</v>
      </c>
      <c r="K45" s="42">
        <f t="shared" si="0"/>
        <v>3032283</v>
      </c>
      <c r="L45" s="41">
        <v>-27137</v>
      </c>
      <c r="M45" s="41">
        <v>9</v>
      </c>
      <c r="N45" s="41">
        <v>16</v>
      </c>
    </row>
    <row r="46" spans="1:14" ht="12.75">
      <c r="A46" s="48" t="s">
        <v>63</v>
      </c>
      <c r="B46" s="40">
        <v>120</v>
      </c>
      <c r="C46" s="41">
        <v>8145489</v>
      </c>
      <c r="D46" s="41">
        <v>1086463</v>
      </c>
      <c r="E46" s="41">
        <v>1321546</v>
      </c>
      <c r="F46" s="41">
        <v>100490</v>
      </c>
      <c r="G46" s="41">
        <f>74180+38650+31517+15460+865760+121362+432889</f>
        <v>1579818</v>
      </c>
      <c r="H46" s="41"/>
      <c r="I46" s="41"/>
      <c r="J46" s="41">
        <v>938759</v>
      </c>
      <c r="K46" s="42">
        <f t="shared" si="0"/>
        <v>13172565</v>
      </c>
      <c r="L46" s="41">
        <f>115626+57975</f>
        <v>173601</v>
      </c>
      <c r="M46" s="41">
        <v>69</v>
      </c>
      <c r="N46" s="41">
        <v>73</v>
      </c>
    </row>
    <row r="47" spans="1:14" ht="12.75">
      <c r="A47" s="44" t="s">
        <v>74</v>
      </c>
      <c r="B47" s="45">
        <v>121</v>
      </c>
      <c r="C47" s="45">
        <f>SUM(C40:C46)</f>
        <v>11937055</v>
      </c>
      <c r="D47" s="45">
        <f aca="true" t="shared" si="3" ref="D47:J47">SUM(D40:D46)</f>
        <v>1491908</v>
      </c>
      <c r="E47" s="45">
        <f t="shared" si="3"/>
        <v>2459020</v>
      </c>
      <c r="F47" s="45">
        <f t="shared" si="3"/>
        <v>297605</v>
      </c>
      <c r="G47" s="45">
        <f t="shared" si="3"/>
        <v>1979584</v>
      </c>
      <c r="H47" s="45">
        <f t="shared" si="3"/>
        <v>0</v>
      </c>
      <c r="I47" s="45">
        <f t="shared" si="3"/>
        <v>0</v>
      </c>
      <c r="J47" s="45">
        <f t="shared" si="3"/>
        <v>1382205</v>
      </c>
      <c r="K47" s="42">
        <f t="shared" si="0"/>
        <v>19547377</v>
      </c>
      <c r="L47" s="45">
        <f>SUM(L40:L46)</f>
        <v>239389</v>
      </c>
      <c r="M47" s="45">
        <f>SUM(M40:M46)</f>
        <v>85</v>
      </c>
      <c r="N47" s="45">
        <f>SUM(N40:N46)</f>
        <v>96</v>
      </c>
    </row>
    <row r="48" spans="1:14" ht="12.75">
      <c r="A48" s="44" t="s">
        <v>119</v>
      </c>
      <c r="B48" s="45">
        <v>152</v>
      </c>
      <c r="C48" s="45">
        <f>C32+C39+C47</f>
        <v>14106531</v>
      </c>
      <c r="D48" s="45">
        <f aca="true" t="shared" si="4" ref="D48:J48">D32+D39+D47</f>
        <v>1491908</v>
      </c>
      <c r="E48" s="45">
        <f t="shared" si="4"/>
        <v>2459020</v>
      </c>
      <c r="F48" s="45">
        <f t="shared" si="4"/>
        <v>297605</v>
      </c>
      <c r="G48" s="45">
        <f t="shared" si="4"/>
        <v>2074584</v>
      </c>
      <c r="H48" s="45">
        <f t="shared" si="4"/>
        <v>0</v>
      </c>
      <c r="I48" s="45">
        <f t="shared" si="4"/>
        <v>0</v>
      </c>
      <c r="J48" s="45">
        <f t="shared" si="4"/>
        <v>1562995</v>
      </c>
      <c r="K48" s="42">
        <f t="shared" si="0"/>
        <v>21992643</v>
      </c>
      <c r="L48" s="45">
        <f>L32+L39+L47</f>
        <v>257389</v>
      </c>
      <c r="M48" s="45">
        <f>M32+M39+M47</f>
        <v>99</v>
      </c>
      <c r="N48" s="45">
        <f>N32+N39+N47</f>
        <v>103</v>
      </c>
    </row>
    <row r="49" spans="1:14" ht="12.75">
      <c r="A49" s="44" t="s">
        <v>51</v>
      </c>
      <c r="B49" s="45">
        <v>158</v>
      </c>
      <c r="C49" s="49">
        <v>614650</v>
      </c>
      <c r="D49" s="49"/>
      <c r="E49" s="49"/>
      <c r="F49" s="49"/>
      <c r="G49" s="49">
        <v>20000</v>
      </c>
      <c r="H49" s="49"/>
      <c r="I49" s="49"/>
      <c r="J49" s="49">
        <v>51221</v>
      </c>
      <c r="K49" s="42">
        <f t="shared" si="0"/>
        <v>685871</v>
      </c>
      <c r="L49" s="49"/>
      <c r="M49" s="49">
        <v>4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14721181</v>
      </c>
      <c r="D50" s="45">
        <f aca="true" t="shared" si="5" ref="D50:J50">D48+D49</f>
        <v>1491908</v>
      </c>
      <c r="E50" s="45">
        <f t="shared" si="5"/>
        <v>2459020</v>
      </c>
      <c r="F50" s="45">
        <f t="shared" si="5"/>
        <v>297605</v>
      </c>
      <c r="G50" s="45">
        <f t="shared" si="5"/>
        <v>2094584</v>
      </c>
      <c r="H50" s="45">
        <f t="shared" si="5"/>
        <v>0</v>
      </c>
      <c r="I50" s="45">
        <f t="shared" si="5"/>
        <v>0</v>
      </c>
      <c r="J50" s="45">
        <f t="shared" si="5"/>
        <v>1614216</v>
      </c>
      <c r="K50" s="42">
        <f t="shared" si="0"/>
        <v>22678514</v>
      </c>
      <c r="L50" s="45">
        <f>L48+L49</f>
        <v>257389</v>
      </c>
      <c r="M50" s="45">
        <f>M48+M49</f>
        <v>103</v>
      </c>
      <c r="N50" s="45">
        <f>N48+N49</f>
        <v>107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 t="s">
        <v>232</v>
      </c>
      <c r="C60" s="164"/>
      <c r="D60" s="164"/>
      <c r="E60" s="62"/>
    </row>
    <row r="61" spans="10:11" ht="12.75">
      <c r="J61" s="189" t="s">
        <v>228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G47" sqref="G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7.1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 t="s">
        <v>212</v>
      </c>
      <c r="I2" s="179"/>
    </row>
    <row r="3" spans="1:9" ht="12.75">
      <c r="A3" s="3"/>
      <c r="G3" s="5" t="s">
        <v>77</v>
      </c>
      <c r="H3" s="178" t="s">
        <v>210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169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92485</v>
      </c>
      <c r="D17" s="41"/>
      <c r="E17" s="41">
        <v>9568</v>
      </c>
      <c r="F17" s="41">
        <v>1950</v>
      </c>
      <c r="G17" s="41"/>
      <c r="H17" s="41"/>
      <c r="I17" s="41"/>
      <c r="J17" s="42">
        <f t="shared" si="0"/>
        <v>104003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43041</v>
      </c>
      <c r="D23" s="41"/>
      <c r="E23" s="41">
        <v>4453</v>
      </c>
      <c r="F23" s="41">
        <v>1950</v>
      </c>
      <c r="G23" s="41"/>
      <c r="H23" s="41"/>
      <c r="I23" s="41"/>
      <c r="J23" s="42">
        <f t="shared" si="0"/>
        <v>49444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67137</v>
      </c>
      <c r="D24" s="41"/>
      <c r="E24" s="41">
        <v>6945</v>
      </c>
      <c r="F24" s="41">
        <v>3900</v>
      </c>
      <c r="G24" s="41"/>
      <c r="H24" s="41"/>
      <c r="I24" s="41"/>
      <c r="J24" s="42">
        <f t="shared" si="0"/>
        <v>77982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301175</v>
      </c>
      <c r="D25" s="41"/>
      <c r="E25" s="41">
        <v>31156</v>
      </c>
      <c r="F25" s="41">
        <v>13650</v>
      </c>
      <c r="G25" s="41"/>
      <c r="H25" s="41"/>
      <c r="I25" s="41"/>
      <c r="J25" s="42">
        <f t="shared" si="0"/>
        <v>345981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117607</v>
      </c>
      <c r="D27" s="41"/>
      <c r="E27" s="41">
        <v>12166</v>
      </c>
      <c r="F27" s="41">
        <v>3900</v>
      </c>
      <c r="G27" s="41"/>
      <c r="H27" s="41"/>
      <c r="I27" s="41"/>
      <c r="J27" s="42">
        <f t="shared" si="0"/>
        <v>133673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87682</v>
      </c>
      <c r="D29" s="41"/>
      <c r="E29" s="41">
        <v>9071</v>
      </c>
      <c r="F29" s="41">
        <v>1950</v>
      </c>
      <c r="G29" s="41"/>
      <c r="H29" s="41"/>
      <c r="I29" s="41"/>
      <c r="J29" s="42">
        <f t="shared" si="0"/>
        <v>98703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709127</v>
      </c>
      <c r="D32" s="45">
        <f>SUM(D12:D31)</f>
        <v>0</v>
      </c>
      <c r="E32" s="45">
        <f t="shared" si="1"/>
        <v>73359</v>
      </c>
      <c r="F32" s="45">
        <f t="shared" si="1"/>
        <v>27300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809786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156118</v>
      </c>
      <c r="D42" s="41"/>
      <c r="E42" s="41">
        <v>16150</v>
      </c>
      <c r="F42" s="41">
        <v>1950</v>
      </c>
      <c r="G42" s="41"/>
      <c r="H42" s="41"/>
      <c r="I42" s="41"/>
      <c r="J42" s="42">
        <f t="shared" si="0"/>
        <v>174218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300711</v>
      </c>
      <c r="D43" s="41"/>
      <c r="E43" s="41">
        <v>31108</v>
      </c>
      <c r="F43" s="41">
        <v>3900</v>
      </c>
      <c r="G43" s="41"/>
      <c r="H43" s="41"/>
      <c r="I43" s="41"/>
      <c r="J43" s="42">
        <f t="shared" si="0"/>
        <v>335719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533849</v>
      </c>
      <c r="D44" s="41"/>
      <c r="E44" s="41">
        <v>55226</v>
      </c>
      <c r="F44" s="41">
        <v>7800</v>
      </c>
      <c r="G44" s="41"/>
      <c r="H44" s="41"/>
      <c r="I44" s="41"/>
      <c r="J44" s="42">
        <f t="shared" si="0"/>
        <v>596875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879362</v>
      </c>
      <c r="D45" s="41"/>
      <c r="E45" s="41">
        <v>90968</v>
      </c>
      <c r="F45" s="41">
        <v>17550</v>
      </c>
      <c r="G45" s="41"/>
      <c r="H45" s="41"/>
      <c r="I45" s="41"/>
      <c r="J45" s="42">
        <f t="shared" si="0"/>
        <v>987880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3814280</v>
      </c>
      <c r="D46" s="41"/>
      <c r="E46" s="41">
        <v>393386</v>
      </c>
      <c r="F46" s="41">
        <v>119535</v>
      </c>
      <c r="G46" s="41">
        <v>154244</v>
      </c>
      <c r="H46" s="41"/>
      <c r="I46" s="41"/>
      <c r="J46" s="42">
        <f t="shared" si="0"/>
        <v>4481445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5684320</v>
      </c>
      <c r="D47" s="45">
        <f>SUM(D40:D46)</f>
        <v>0</v>
      </c>
      <c r="E47" s="45">
        <f t="shared" si="3"/>
        <v>586838</v>
      </c>
      <c r="F47" s="45">
        <f t="shared" si="3"/>
        <v>150735</v>
      </c>
      <c r="G47" s="45">
        <f t="shared" si="3"/>
        <v>154244</v>
      </c>
      <c r="H47" s="45">
        <f t="shared" si="3"/>
        <v>0</v>
      </c>
      <c r="I47" s="45">
        <f t="shared" si="3"/>
        <v>0</v>
      </c>
      <c r="J47" s="42">
        <f t="shared" si="0"/>
        <v>6576137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6393447</v>
      </c>
      <c r="D48" s="45">
        <f>D32+D39+D47</f>
        <v>0</v>
      </c>
      <c r="E48" s="45">
        <f t="shared" si="4"/>
        <v>660197</v>
      </c>
      <c r="F48" s="45">
        <f t="shared" si="4"/>
        <v>178035</v>
      </c>
      <c r="G48" s="45">
        <f t="shared" si="4"/>
        <v>154244</v>
      </c>
      <c r="H48" s="45">
        <f t="shared" si="4"/>
        <v>0</v>
      </c>
      <c r="I48" s="45">
        <f t="shared" si="4"/>
        <v>0</v>
      </c>
      <c r="J48" s="42">
        <f t="shared" si="0"/>
        <v>7385923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198902</v>
      </c>
      <c r="D49" s="49"/>
      <c r="E49" s="49">
        <v>20576</v>
      </c>
      <c r="F49" s="49">
        <v>6026</v>
      </c>
      <c r="G49" s="49"/>
      <c r="H49" s="49"/>
      <c r="I49" s="49"/>
      <c r="J49" s="42">
        <f t="shared" si="0"/>
        <v>225504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6592349</v>
      </c>
      <c r="D50" s="45">
        <f>D48+D49</f>
        <v>0</v>
      </c>
      <c r="E50" s="45">
        <f t="shared" si="5"/>
        <v>680773</v>
      </c>
      <c r="F50" s="45">
        <f t="shared" si="5"/>
        <v>184061</v>
      </c>
      <c r="G50" s="45">
        <f t="shared" si="5"/>
        <v>154244</v>
      </c>
      <c r="H50" s="45">
        <f t="shared" si="5"/>
        <v>0</v>
      </c>
      <c r="I50" s="45">
        <f t="shared" si="5"/>
        <v>0</v>
      </c>
      <c r="J50" s="42">
        <f t="shared" si="0"/>
        <v>7611427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 t="s">
        <v>233</v>
      </c>
      <c r="C60" s="164"/>
      <c r="D60" s="164"/>
      <c r="E60" s="164"/>
      <c r="F60" s="62"/>
    </row>
    <row r="61" spans="8:9" ht="12.75">
      <c r="H61" s="189" t="s">
        <v>208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K57" sqref="K5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7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235</v>
      </c>
      <c r="L2" s="179"/>
    </row>
    <row r="3" spans="1:12" ht="12.75">
      <c r="A3" s="3"/>
      <c r="H3" s="4"/>
      <c r="I3" s="4"/>
      <c r="J3" s="5" t="s">
        <v>77</v>
      </c>
      <c r="K3" s="178" t="s">
        <v>210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93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257460</v>
      </c>
      <c r="D17" s="41"/>
      <c r="E17" s="41"/>
      <c r="F17" s="41"/>
      <c r="G17" s="41">
        <v>40000</v>
      </c>
      <c r="H17" s="41"/>
      <c r="I17" s="41"/>
      <c r="J17" s="41">
        <v>21455</v>
      </c>
      <c r="K17" s="42">
        <f t="shared" si="0"/>
        <v>318915</v>
      </c>
      <c r="L17" s="41">
        <v>15000</v>
      </c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137000</v>
      </c>
      <c r="D23" s="41"/>
      <c r="E23" s="41"/>
      <c r="F23" s="41"/>
      <c r="G23" s="41"/>
      <c r="H23" s="41"/>
      <c r="I23" s="41"/>
      <c r="J23" s="41">
        <v>11417</v>
      </c>
      <c r="K23" s="42">
        <f t="shared" si="0"/>
        <v>148417</v>
      </c>
      <c r="L23" s="41">
        <v>10055</v>
      </c>
      <c r="M23" s="41">
        <v>1</v>
      </c>
      <c r="N23" s="41"/>
    </row>
    <row r="24" spans="1:14" ht="12.75">
      <c r="A24" s="39" t="s">
        <v>32</v>
      </c>
      <c r="B24" s="40">
        <v>83</v>
      </c>
      <c r="C24" s="41">
        <f>115900+97800</f>
        <v>213700</v>
      </c>
      <c r="D24" s="41"/>
      <c r="E24" s="41"/>
      <c r="F24" s="41"/>
      <c r="G24" s="41"/>
      <c r="H24" s="41"/>
      <c r="I24" s="41"/>
      <c r="J24" s="41">
        <f>8150</f>
        <v>8150</v>
      </c>
      <c r="K24" s="42">
        <f t="shared" si="0"/>
        <v>221850</v>
      </c>
      <c r="L24" s="41">
        <f>4497+30000</f>
        <v>34497</v>
      </c>
      <c r="M24" s="41">
        <v>2</v>
      </c>
      <c r="N24" s="41"/>
    </row>
    <row r="25" spans="1:14" ht="12.75">
      <c r="A25" s="39" t="s">
        <v>33</v>
      </c>
      <c r="B25" s="40">
        <v>84</v>
      </c>
      <c r="C25" s="41">
        <f>109300+135300+142700+137700+126100+118900</f>
        <v>770000</v>
      </c>
      <c r="D25" s="41"/>
      <c r="E25" s="41"/>
      <c r="F25" s="41"/>
      <c r="G25" s="41">
        <v>15000</v>
      </c>
      <c r="H25" s="41"/>
      <c r="I25" s="41"/>
      <c r="J25" s="41">
        <f>11275+9108+11892+11475+10508+9908</f>
        <v>64166</v>
      </c>
      <c r="K25" s="42">
        <f t="shared" si="0"/>
        <v>849166</v>
      </c>
      <c r="L25" s="41">
        <f>30000+15000+15000+30000</f>
        <v>90000</v>
      </c>
      <c r="M25" s="41">
        <v>6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f>179216+318000+185900</f>
        <v>683116</v>
      </c>
      <c r="D27" s="41"/>
      <c r="E27" s="41"/>
      <c r="F27" s="41"/>
      <c r="G27" s="41">
        <v>10000</v>
      </c>
      <c r="H27" s="41"/>
      <c r="I27" s="41"/>
      <c r="J27" s="41">
        <f>14935+15492</f>
        <v>30427</v>
      </c>
      <c r="K27" s="42">
        <f t="shared" si="0"/>
        <v>723543</v>
      </c>
      <c r="L27" s="41">
        <f>18000+30000</f>
        <v>48000</v>
      </c>
      <c r="M27" s="41">
        <v>3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251400</v>
      </c>
      <c r="D29" s="41"/>
      <c r="E29" s="41"/>
      <c r="F29" s="41"/>
      <c r="G29" s="41">
        <v>30000</v>
      </c>
      <c r="H29" s="41"/>
      <c r="I29" s="41"/>
      <c r="J29" s="41">
        <v>20950</v>
      </c>
      <c r="K29" s="42">
        <f t="shared" si="0"/>
        <v>302350</v>
      </c>
      <c r="L29" s="41">
        <v>15000</v>
      </c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2312676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0</v>
      </c>
      <c r="I32" s="45">
        <f t="shared" si="1"/>
        <v>0</v>
      </c>
      <c r="J32" s="45">
        <f t="shared" si="1"/>
        <v>156565</v>
      </c>
      <c r="K32" s="42">
        <f t="shared" si="0"/>
        <v>2564241</v>
      </c>
      <c r="L32" s="45">
        <f>SUM(L12:L31)</f>
        <v>212552</v>
      </c>
      <c r="M32" s="45">
        <f>SUM(M12:M31)</f>
        <v>14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3865</v>
      </c>
      <c r="G42" s="41">
        <f>92760+7730</f>
        <v>100490</v>
      </c>
      <c r="H42" s="41"/>
      <c r="I42" s="41"/>
      <c r="J42" s="41">
        <v>44898</v>
      </c>
      <c r="K42" s="42">
        <f t="shared" si="0"/>
        <v>583679</v>
      </c>
      <c r="L42" s="41">
        <v>15000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f>289875+289875</f>
        <v>579750</v>
      </c>
      <c r="D43" s="41">
        <f>28988+26669</f>
        <v>55657</v>
      </c>
      <c r="E43" s="41">
        <f>86963+86963</f>
        <v>173926</v>
      </c>
      <c r="F43" s="41">
        <f>23190+3865</f>
        <v>27055</v>
      </c>
      <c r="G43" s="41">
        <f>57975+57975+4831</f>
        <v>120781</v>
      </c>
      <c r="H43" s="41"/>
      <c r="I43" s="41"/>
      <c r="J43" s="41">
        <f>40985+38779</f>
        <v>79764</v>
      </c>
      <c r="K43" s="42">
        <f t="shared" si="0"/>
        <v>1036933</v>
      </c>
      <c r="L43" s="41">
        <f>19325+30000</f>
        <v>49325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102038</v>
      </c>
      <c r="E44" s="41">
        <v>324660</v>
      </c>
      <c r="F44" s="41">
        <v>3865</v>
      </c>
      <c r="G44" s="41">
        <f>108220+5798+4831</f>
        <v>118849</v>
      </c>
      <c r="H44" s="41"/>
      <c r="I44" s="41"/>
      <c r="J44" s="41">
        <v>135967</v>
      </c>
      <c r="K44" s="42">
        <f t="shared" si="0"/>
        <v>1767579</v>
      </c>
      <c r="L44" s="41">
        <f>77300+60000</f>
        <v>137300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1820416</v>
      </c>
      <c r="D45" s="41">
        <v>215284</v>
      </c>
      <c r="E45" s="41">
        <v>546128</v>
      </c>
      <c r="F45" s="41">
        <v>162330</v>
      </c>
      <c r="G45" s="41">
        <f>43653+15460+6281+34012</f>
        <v>99406</v>
      </c>
      <c r="H45" s="41"/>
      <c r="I45" s="41"/>
      <c r="J45" s="41">
        <v>229969</v>
      </c>
      <c r="K45" s="42">
        <f t="shared" si="0"/>
        <v>3073533</v>
      </c>
      <c r="L45" s="41">
        <f>89072+135000+9663</f>
        <v>233735</v>
      </c>
      <c r="M45" s="41">
        <v>9</v>
      </c>
      <c r="N45" s="41">
        <v>16</v>
      </c>
    </row>
    <row r="46" spans="1:14" ht="12.75">
      <c r="A46" s="48" t="s">
        <v>63</v>
      </c>
      <c r="B46" s="40">
        <v>120</v>
      </c>
      <c r="C46" s="41">
        <v>8127821</v>
      </c>
      <c r="D46" s="41">
        <v>1100764</v>
      </c>
      <c r="E46" s="41">
        <v>1318896</v>
      </c>
      <c r="F46" s="41">
        <v>110153</v>
      </c>
      <c r="G46" s="41">
        <f>74784+38650+492444+15460+971771+115954+415688</f>
        <v>2124751</v>
      </c>
      <c r="H46" s="41"/>
      <c r="I46" s="41"/>
      <c r="J46" s="41">
        <v>907639</v>
      </c>
      <c r="K46" s="42">
        <f t="shared" si="0"/>
        <v>13690024</v>
      </c>
      <c r="L46" s="41">
        <f>1317255+995935+67638+3</f>
        <v>2380831</v>
      </c>
      <c r="M46" s="41">
        <v>70</v>
      </c>
      <c r="N46" s="41">
        <v>73</v>
      </c>
    </row>
    <row r="47" spans="1:14" ht="12.75">
      <c r="A47" s="44" t="s">
        <v>74</v>
      </c>
      <c r="B47" s="45">
        <v>121</v>
      </c>
      <c r="C47" s="45">
        <f>SUM(C40:C46)</f>
        <v>11919387</v>
      </c>
      <c r="D47" s="45">
        <f aca="true" t="shared" si="3" ref="D47:J47">SUM(D40:D46)</f>
        <v>1506209</v>
      </c>
      <c r="E47" s="45">
        <f t="shared" si="3"/>
        <v>2456370</v>
      </c>
      <c r="F47" s="45">
        <f t="shared" si="3"/>
        <v>307268</v>
      </c>
      <c r="G47" s="45">
        <f t="shared" si="3"/>
        <v>2564277</v>
      </c>
      <c r="H47" s="45">
        <f t="shared" si="3"/>
        <v>0</v>
      </c>
      <c r="I47" s="45">
        <f t="shared" si="3"/>
        <v>0</v>
      </c>
      <c r="J47" s="45">
        <f t="shared" si="3"/>
        <v>1398237</v>
      </c>
      <c r="K47" s="42">
        <f t="shared" si="0"/>
        <v>20151748</v>
      </c>
      <c r="L47" s="45">
        <f>SUM(L40:L46)</f>
        <v>2816191</v>
      </c>
      <c r="M47" s="45">
        <f>SUM(M40:M46)</f>
        <v>86</v>
      </c>
      <c r="N47" s="45">
        <f>SUM(N40:N46)</f>
        <v>96</v>
      </c>
    </row>
    <row r="48" spans="1:14" ht="12.75">
      <c r="A48" s="44" t="s">
        <v>119</v>
      </c>
      <c r="B48" s="45">
        <v>152</v>
      </c>
      <c r="C48" s="45">
        <f>C32+C39+C47</f>
        <v>14232063</v>
      </c>
      <c r="D48" s="45">
        <f aca="true" t="shared" si="4" ref="D48:J48">D32+D39+D47</f>
        <v>1506209</v>
      </c>
      <c r="E48" s="45">
        <f t="shared" si="4"/>
        <v>2456370</v>
      </c>
      <c r="F48" s="45">
        <f t="shared" si="4"/>
        <v>307268</v>
      </c>
      <c r="G48" s="45">
        <f t="shared" si="4"/>
        <v>2659277</v>
      </c>
      <c r="H48" s="45">
        <f t="shared" si="4"/>
        <v>0</v>
      </c>
      <c r="I48" s="45">
        <f t="shared" si="4"/>
        <v>0</v>
      </c>
      <c r="J48" s="45">
        <f t="shared" si="4"/>
        <v>1554802</v>
      </c>
      <c r="K48" s="42">
        <f t="shared" si="0"/>
        <v>22715989</v>
      </c>
      <c r="L48" s="45">
        <f>L32+L39+L47</f>
        <v>3028743</v>
      </c>
      <c r="M48" s="45">
        <f>M32+M39+M47</f>
        <v>100</v>
      </c>
      <c r="N48" s="45">
        <f>N32+N39+N47</f>
        <v>103</v>
      </c>
    </row>
    <row r="49" spans="1:14" ht="12.75">
      <c r="A49" s="44" t="s">
        <v>51</v>
      </c>
      <c r="B49" s="45">
        <v>158</v>
      </c>
      <c r="C49" s="49">
        <v>614650</v>
      </c>
      <c r="D49" s="49"/>
      <c r="E49" s="49"/>
      <c r="F49" s="49"/>
      <c r="G49" s="49">
        <v>20000</v>
      </c>
      <c r="H49" s="49"/>
      <c r="I49" s="49"/>
      <c r="J49" s="49">
        <v>51221</v>
      </c>
      <c r="K49" s="42">
        <f t="shared" si="0"/>
        <v>685871</v>
      </c>
      <c r="L49" s="49">
        <f>5265+61350</f>
        <v>66615</v>
      </c>
      <c r="M49" s="49">
        <v>4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14846713</v>
      </c>
      <c r="D50" s="45">
        <f aca="true" t="shared" si="5" ref="D50:J50">D48+D49</f>
        <v>1506209</v>
      </c>
      <c r="E50" s="45">
        <f t="shared" si="5"/>
        <v>2456370</v>
      </c>
      <c r="F50" s="45">
        <f t="shared" si="5"/>
        <v>307268</v>
      </c>
      <c r="G50" s="45">
        <f t="shared" si="5"/>
        <v>2679277</v>
      </c>
      <c r="H50" s="45">
        <f t="shared" si="5"/>
        <v>0</v>
      </c>
      <c r="I50" s="45">
        <f t="shared" si="5"/>
        <v>0</v>
      </c>
      <c r="J50" s="45">
        <f t="shared" si="5"/>
        <v>1606023</v>
      </c>
      <c r="K50" s="42">
        <f t="shared" si="0"/>
        <v>23401860</v>
      </c>
      <c r="L50" s="45">
        <f>L48+L49</f>
        <v>3095358</v>
      </c>
      <c r="M50" s="45">
        <f>M48+M49</f>
        <v>104</v>
      </c>
      <c r="N50" s="45">
        <f>N48+N49</f>
        <v>107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24</v>
      </c>
      <c r="B55" s="55">
        <f>IF(A55="","",VLOOKUP(A55,$A$12:$B$50,2,FALSE))</f>
        <v>73</v>
      </c>
      <c r="C55" s="55"/>
      <c r="D55" s="55"/>
      <c r="E55" s="55"/>
      <c r="F55" s="55"/>
      <c r="G55" s="55"/>
      <c r="H55" s="55"/>
      <c r="I55" s="55"/>
      <c r="J55" s="55">
        <v>44834</v>
      </c>
      <c r="K55" s="128">
        <f>SUM(D55+E55+F55+G55+H55+I55+J55)</f>
        <v>44834</v>
      </c>
      <c r="L55" s="55"/>
      <c r="M55" s="56"/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/>
      <c r="D56" s="59"/>
      <c r="E56" s="59"/>
      <c r="F56" s="59"/>
      <c r="G56" s="59"/>
      <c r="H56" s="59"/>
      <c r="I56" s="59"/>
      <c r="J56" s="59">
        <v>-8382</v>
      </c>
      <c r="K56" s="128">
        <f>SUM(D56+E56+F56+G56+H56+I56+J56)</f>
        <v>-8382</v>
      </c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 t="s">
        <v>236</v>
      </c>
      <c r="C60" s="164"/>
      <c r="D60" s="164"/>
      <c r="E60" s="62"/>
    </row>
    <row r="61" spans="10:11" ht="12.75">
      <c r="J61" s="189" t="s">
        <v>208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tabSelected="1" zoomScale="75" zoomScaleNormal="75" zoomScalePageLayoutView="0" workbookViewId="0" topLeftCell="A1">
      <selection activeCell="I57" sqref="I5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7.1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 t="s">
        <v>209</v>
      </c>
      <c r="I2" s="179"/>
    </row>
    <row r="3" spans="1:9" ht="12.75">
      <c r="A3" s="3"/>
      <c r="G3" s="5" t="s">
        <v>77</v>
      </c>
      <c r="H3" s="178" t="s">
        <v>210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170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f>80139+15026+1669</f>
        <v>96834</v>
      </c>
      <c r="D17" s="41"/>
      <c r="E17" s="41">
        <v>10018</v>
      </c>
      <c r="F17" s="41">
        <v>1950</v>
      </c>
      <c r="G17" s="41"/>
      <c r="H17" s="41"/>
      <c r="I17" s="41"/>
      <c r="J17" s="42">
        <f t="shared" si="0"/>
        <v>108802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38033+7131+792+C55</f>
        <v>63820</v>
      </c>
      <c r="D23" s="41"/>
      <c r="E23" s="41">
        <f>4755+E55</f>
        <v>5955</v>
      </c>
      <c r="F23" s="41">
        <v>1950</v>
      </c>
      <c r="G23" s="41"/>
      <c r="H23" s="41"/>
      <c r="I23" s="41"/>
      <c r="J23" s="42">
        <f t="shared" si="0"/>
        <v>71725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31946+5990+666+30107+5645+627</f>
        <v>74981</v>
      </c>
      <c r="D24" s="41"/>
      <c r="E24" s="41">
        <f>3764+3993</f>
        <v>7757</v>
      </c>
      <c r="F24" s="41">
        <f>1950+1950</f>
        <v>3900</v>
      </c>
      <c r="G24" s="41"/>
      <c r="H24" s="41"/>
      <c r="I24" s="41"/>
      <c r="J24" s="42">
        <f t="shared" si="0"/>
        <v>86638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225400+46958</f>
        <v>272358</v>
      </c>
      <c r="D25" s="41"/>
      <c r="E25" s="41">
        <v>28175</v>
      </c>
      <c r="F25" s="41">
        <v>11700</v>
      </c>
      <c r="G25" s="41"/>
      <c r="H25" s="41"/>
      <c r="I25" s="41"/>
      <c r="J25" s="42">
        <f t="shared" si="0"/>
        <v>312233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76320+14310+1590+50196+9412+1046+54334+10188+1132</f>
        <v>218528</v>
      </c>
      <c r="D27" s="41"/>
      <c r="E27" s="41">
        <f>6792+6274+9540</f>
        <v>22606</v>
      </c>
      <c r="F27" s="41">
        <f>1950+1950+1950</f>
        <v>5850</v>
      </c>
      <c r="G27" s="41"/>
      <c r="H27" s="41"/>
      <c r="I27" s="41"/>
      <c r="J27" s="42">
        <f t="shared" si="0"/>
        <v>246984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76164+14281+1587</f>
        <v>92032</v>
      </c>
      <c r="D29" s="41"/>
      <c r="E29" s="41">
        <v>9521</v>
      </c>
      <c r="F29" s="41">
        <v>1950</v>
      </c>
      <c r="G29" s="41"/>
      <c r="H29" s="41"/>
      <c r="I29" s="41"/>
      <c r="J29" s="42">
        <f t="shared" si="0"/>
        <v>103503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818553</v>
      </c>
      <c r="D32" s="45">
        <f>SUM(D12:D31)</f>
        <v>0</v>
      </c>
      <c r="E32" s="45">
        <f t="shared" si="1"/>
        <v>84032</v>
      </c>
      <c r="F32" s="45">
        <f t="shared" si="1"/>
        <v>27300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929885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143683+26940+2993+C56</f>
        <v>186618</v>
      </c>
      <c r="D42" s="41"/>
      <c r="E42" s="41">
        <v>17960</v>
      </c>
      <c r="F42" s="41">
        <v>1950</v>
      </c>
      <c r="G42" s="41"/>
      <c r="H42" s="41"/>
      <c r="I42" s="41"/>
      <c r="J42" s="42">
        <f t="shared" si="0"/>
        <v>206528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136111+25521+2836+124590+23361+2596</f>
        <v>315015</v>
      </c>
      <c r="D43" s="41"/>
      <c r="E43" s="41">
        <f>17014+15573</f>
        <v>32587</v>
      </c>
      <c r="F43" s="41">
        <f>1950+1235</f>
        <v>3185</v>
      </c>
      <c r="G43" s="41"/>
      <c r="H43" s="41"/>
      <c r="I43" s="41"/>
      <c r="J43" s="42">
        <f t="shared" si="0"/>
        <v>350787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125189+23473+2609+108411+20327+2259+108411+20327+2259+115160+21592+2399</f>
        <v>552416</v>
      </c>
      <c r="D44" s="41"/>
      <c r="E44" s="41">
        <f>14395+13552+13552+15648</f>
        <v>57147</v>
      </c>
      <c r="F44" s="41">
        <v>7800</v>
      </c>
      <c r="G44" s="41"/>
      <c r="H44" s="41"/>
      <c r="I44" s="41"/>
      <c r="J44" s="42">
        <f t="shared" si="0"/>
        <v>617363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959108</v>
      </c>
      <c r="D45" s="41"/>
      <c r="E45" s="41">
        <v>99218</v>
      </c>
      <c r="F45" s="41">
        <v>17550</v>
      </c>
      <c r="G45" s="41"/>
      <c r="H45" s="41"/>
      <c r="I45" s="41"/>
      <c r="J45" s="42">
        <f t="shared" si="0"/>
        <v>1075876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f>4630255+C57</f>
        <v>4627824</v>
      </c>
      <c r="D46" s="41"/>
      <c r="E46" s="41">
        <v>478991</v>
      </c>
      <c r="F46" s="41">
        <v>122070</v>
      </c>
      <c r="G46" s="41">
        <v>183416</v>
      </c>
      <c r="H46" s="41"/>
      <c r="I46" s="41"/>
      <c r="J46" s="42">
        <f t="shared" si="0"/>
        <v>5412301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6640981</v>
      </c>
      <c r="D47" s="45">
        <f>SUM(D40:D46)</f>
        <v>0</v>
      </c>
      <c r="E47" s="45">
        <f t="shared" si="3"/>
        <v>685903</v>
      </c>
      <c r="F47" s="45">
        <f t="shared" si="3"/>
        <v>152555</v>
      </c>
      <c r="G47" s="45">
        <f t="shared" si="3"/>
        <v>183416</v>
      </c>
      <c r="H47" s="45">
        <f t="shared" si="3"/>
        <v>0</v>
      </c>
      <c r="I47" s="45">
        <f t="shared" si="3"/>
        <v>0</v>
      </c>
      <c r="J47" s="42">
        <f t="shared" si="0"/>
        <v>7662855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7459534</v>
      </c>
      <c r="D48" s="45">
        <f>D32+D39+D47</f>
        <v>0</v>
      </c>
      <c r="E48" s="45">
        <f t="shared" si="4"/>
        <v>769935</v>
      </c>
      <c r="F48" s="45">
        <f t="shared" si="4"/>
        <v>179855</v>
      </c>
      <c r="G48" s="45">
        <f t="shared" si="4"/>
        <v>183416</v>
      </c>
      <c r="H48" s="45">
        <f t="shared" si="4"/>
        <v>0</v>
      </c>
      <c r="I48" s="45">
        <f t="shared" si="4"/>
        <v>0</v>
      </c>
      <c r="J48" s="42">
        <f t="shared" si="0"/>
        <v>8592740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f>30857+5786+643+20572+3858+429+19220+3604+401+32956+6180+687+32920+6172+685</f>
        <v>164970</v>
      </c>
      <c r="D49" s="49"/>
      <c r="E49" s="49">
        <f>4116+4120+3858+2572+2402</f>
        <v>17068</v>
      </c>
      <c r="F49" s="49">
        <f>1853+975+975+1345+1853</f>
        <v>7001</v>
      </c>
      <c r="G49" s="49"/>
      <c r="H49" s="49"/>
      <c r="I49" s="49"/>
      <c r="J49" s="42">
        <f t="shared" si="0"/>
        <v>189039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7624504</v>
      </c>
      <c r="D50" s="45">
        <f>D48+D49</f>
        <v>0</v>
      </c>
      <c r="E50" s="45">
        <f t="shared" si="5"/>
        <v>787003</v>
      </c>
      <c r="F50" s="45">
        <f t="shared" si="5"/>
        <v>186856</v>
      </c>
      <c r="G50" s="45">
        <f t="shared" si="5"/>
        <v>183416</v>
      </c>
      <c r="H50" s="45">
        <f t="shared" si="5"/>
        <v>0</v>
      </c>
      <c r="I50" s="45">
        <f t="shared" si="5"/>
        <v>0</v>
      </c>
      <c r="J50" s="42">
        <f t="shared" si="0"/>
        <v>8781779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39</v>
      </c>
      <c r="B55" s="55">
        <f>IF(A55="","",VLOOKUP(A55,$A$12:$B$50,2,FALSE))</f>
        <v>82</v>
      </c>
      <c r="C55" s="55">
        <f>14784+2772+308</f>
        <v>17864</v>
      </c>
      <c r="D55" s="55"/>
      <c r="E55" s="55">
        <v>1200</v>
      </c>
      <c r="F55" s="55"/>
      <c r="G55" s="55"/>
      <c r="H55" s="55"/>
      <c r="I55" s="55"/>
      <c r="J55" s="128">
        <f>SUM(C55+D55+E55+F55+G55+H55+I55)</f>
        <v>19064</v>
      </c>
      <c r="K55" s="55"/>
      <c r="L55" s="56"/>
      <c r="M55" s="129"/>
      <c r="N55" s="112"/>
      <c r="O55" s="114"/>
      <c r="P55" s="130"/>
    </row>
    <row r="56" spans="1:16" s="46" customFormat="1" ht="12.75">
      <c r="A56" s="58" t="s">
        <v>24</v>
      </c>
      <c r="B56" s="59">
        <f>IF(A56="","",VLOOKUP(A56,$A$12:$B$50,2,FALSE))</f>
        <v>73</v>
      </c>
      <c r="C56" s="59">
        <f>10760+2018+224</f>
        <v>13002</v>
      </c>
      <c r="D56" s="59"/>
      <c r="E56" s="59"/>
      <c r="F56" s="59"/>
      <c r="G56" s="59"/>
      <c r="H56" s="59"/>
      <c r="I56" s="59"/>
      <c r="J56" s="128">
        <f>SUM(C56+D56+E56+F56+G56+H56+I56)</f>
        <v>13002</v>
      </c>
      <c r="K56" s="59"/>
      <c r="L56" s="60"/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v>-2431</v>
      </c>
      <c r="D57" s="59"/>
      <c r="E57" s="59"/>
      <c r="F57" s="59"/>
      <c r="G57" s="59"/>
      <c r="H57" s="59"/>
      <c r="I57" s="59"/>
      <c r="J57" s="128">
        <f>SUM(C57+D57+E57+F57+G57+H57+I57)</f>
        <v>-2431</v>
      </c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 t="s">
        <v>237</v>
      </c>
      <c r="C60" s="164"/>
      <c r="D60" s="164"/>
      <c r="E60" s="164"/>
      <c r="F60" s="62"/>
    </row>
    <row r="61" spans="8:9" ht="12.75">
      <c r="H61" s="189" t="s">
        <v>208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94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/>
      <c r="C60" s="164"/>
      <c r="D60" s="164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171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/>
      <c r="C60" s="164"/>
      <c r="D60" s="164"/>
      <c r="E60" s="164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1"/>
  <sheetViews>
    <sheetView zoomScale="75" zoomScaleNormal="75" zoomScalePageLayoutView="0" workbookViewId="0" topLeftCell="A1">
      <selection activeCell="A61" sqref="A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customWidth="1"/>
    <col min="12" max="12" width="15.75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144</v>
      </c>
    </row>
    <row r="2" spans="1:12" ht="12.75">
      <c r="A2" s="3" t="s">
        <v>71</v>
      </c>
      <c r="H2" s="4"/>
      <c r="I2" s="4"/>
      <c r="J2" s="5" t="s">
        <v>0</v>
      </c>
      <c r="K2" s="178" t="s">
        <v>209</v>
      </c>
      <c r="L2" s="179"/>
    </row>
    <row r="3" spans="1:12" ht="12.75">
      <c r="A3" s="3"/>
      <c r="H3" s="4"/>
      <c r="I3" s="4"/>
      <c r="J3" s="5" t="s">
        <v>77</v>
      </c>
      <c r="K3" s="178" t="s">
        <v>210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84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2" t="s">
        <v>121</v>
      </c>
      <c r="N7" s="18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235360</v>
      </c>
      <c r="D17" s="41"/>
      <c r="E17" s="41"/>
      <c r="F17" s="41"/>
      <c r="G17" s="41">
        <v>39200</v>
      </c>
      <c r="H17" s="41"/>
      <c r="I17" s="41"/>
      <c r="J17" s="41">
        <v>19613</v>
      </c>
      <c r="K17" s="42">
        <f t="shared" si="0"/>
        <v>294173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130000</v>
      </c>
      <c r="D23" s="41"/>
      <c r="E23" s="41"/>
      <c r="F23" s="41"/>
      <c r="G23" s="41"/>
      <c r="H23" s="41"/>
      <c r="I23" s="41"/>
      <c r="J23" s="41">
        <v>10833</v>
      </c>
      <c r="K23" s="42">
        <f t="shared" si="0"/>
        <v>140833</v>
      </c>
      <c r="L23" s="41"/>
      <c r="M23" s="41">
        <v>1</v>
      </c>
      <c r="N23" s="41"/>
    </row>
    <row r="24" spans="1:14" ht="12.75">
      <c r="A24" s="39" t="s">
        <v>32</v>
      </c>
      <c r="B24" s="40">
        <v>83</v>
      </c>
      <c r="C24" s="41">
        <f>110500+93000</f>
        <v>203500</v>
      </c>
      <c r="D24" s="41"/>
      <c r="E24" s="41"/>
      <c r="F24" s="41"/>
      <c r="G24" s="41"/>
      <c r="H24" s="41"/>
      <c r="I24" s="41"/>
      <c r="J24" s="41">
        <f>9208+7750</f>
        <v>16958</v>
      </c>
      <c r="K24" s="42">
        <f t="shared" si="0"/>
        <v>220458</v>
      </c>
      <c r="L24" s="41">
        <f>2138+11431</f>
        <v>13569</v>
      </c>
      <c r="M24" s="41">
        <v>2</v>
      </c>
      <c r="N24" s="41"/>
    </row>
    <row r="25" spans="1:14" ht="12.75">
      <c r="A25" s="39" t="s">
        <v>33</v>
      </c>
      <c r="B25" s="40">
        <v>84</v>
      </c>
      <c r="C25" s="41">
        <f>130000+104500+170000+140000+130000+120000+111400</f>
        <v>905900</v>
      </c>
      <c r="D25" s="41"/>
      <c r="E25" s="41"/>
      <c r="F25" s="41"/>
      <c r="G25" s="41">
        <v>14700</v>
      </c>
      <c r="H25" s="41"/>
      <c r="I25" s="41"/>
      <c r="J25" s="41">
        <f>8708+10000+10838+14167+8042+9283+11667</f>
        <v>72705</v>
      </c>
      <c r="K25" s="42">
        <f t="shared" si="0"/>
        <v>993305</v>
      </c>
      <c r="L25" s="41">
        <v>13394</v>
      </c>
      <c r="M25" s="41">
        <v>7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f>175616+177100</f>
        <v>352716</v>
      </c>
      <c r="D27" s="41"/>
      <c r="E27" s="41"/>
      <c r="F27" s="41"/>
      <c r="G27" s="41">
        <v>9800</v>
      </c>
      <c r="H27" s="41"/>
      <c r="I27" s="41"/>
      <c r="J27" s="41">
        <f>14635+14758</f>
        <v>29393</v>
      </c>
      <c r="K27" s="42">
        <f t="shared" si="0"/>
        <v>391909</v>
      </c>
      <c r="L27" s="41">
        <v>16500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238100</v>
      </c>
      <c r="D29" s="41"/>
      <c r="E29" s="41"/>
      <c r="F29" s="41"/>
      <c r="G29" s="41">
        <v>29400</v>
      </c>
      <c r="H29" s="41"/>
      <c r="I29" s="41"/>
      <c r="J29" s="41">
        <v>19842</v>
      </c>
      <c r="K29" s="42">
        <f t="shared" si="0"/>
        <v>287342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2065576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93100</v>
      </c>
      <c r="H32" s="45">
        <f t="shared" si="1"/>
        <v>0</v>
      </c>
      <c r="I32" s="45">
        <f t="shared" si="1"/>
        <v>0</v>
      </c>
      <c r="J32" s="45">
        <f t="shared" si="1"/>
        <v>169344</v>
      </c>
      <c r="K32" s="42">
        <f t="shared" si="0"/>
        <v>2328020</v>
      </c>
      <c r="L32" s="45">
        <f>SUM(L12:L31)</f>
        <v>43463</v>
      </c>
      <c r="M32" s="45">
        <f>SUM(M12:M31)</f>
        <v>14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294400</v>
      </c>
      <c r="D42" s="41">
        <v>30912</v>
      </c>
      <c r="E42" s="41">
        <v>88320</v>
      </c>
      <c r="F42" s="41">
        <v>3680</v>
      </c>
      <c r="G42" s="41">
        <f>88320+6624</f>
        <v>94944</v>
      </c>
      <c r="H42" s="41"/>
      <c r="I42" s="41"/>
      <c r="J42" s="41">
        <v>42688</v>
      </c>
      <c r="K42" s="42">
        <f t="shared" si="0"/>
        <v>554944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f>276000+276000</f>
        <v>552000</v>
      </c>
      <c r="D43" s="41">
        <f>27600+25392</f>
        <v>52992</v>
      </c>
      <c r="E43" s="41">
        <f>82800+82800</f>
        <v>165600</v>
      </c>
      <c r="F43" s="41">
        <f>22080+3680</f>
        <v>25760</v>
      </c>
      <c r="G43" s="41">
        <f>55200+55200+4600</f>
        <v>115000</v>
      </c>
      <c r="H43" s="41"/>
      <c r="I43" s="41"/>
      <c r="J43" s="41">
        <f>39023+36923</f>
        <v>75946</v>
      </c>
      <c r="K43" s="42">
        <f t="shared" si="0"/>
        <v>987298</v>
      </c>
      <c r="L43" s="41">
        <v>18400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1030400</v>
      </c>
      <c r="D44" s="41">
        <f>23184+25392+23184+25392</f>
        <v>97152</v>
      </c>
      <c r="E44" s="41">
        <f>309120</f>
        <v>309120</v>
      </c>
      <c r="F44" s="41"/>
      <c r="G44" s="41">
        <f>10120+103040</f>
        <v>113160</v>
      </c>
      <c r="H44" s="41"/>
      <c r="I44" s="41"/>
      <c r="J44" s="41">
        <f>32553+31985+31985+32629</f>
        <v>129152</v>
      </c>
      <c r="K44" s="42">
        <f t="shared" si="0"/>
        <v>1678984</v>
      </c>
      <c r="L44" s="41">
        <v>73600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2312880</v>
      </c>
      <c r="D45" s="41">
        <v>273792</v>
      </c>
      <c r="E45" s="41">
        <v>693864</v>
      </c>
      <c r="F45" s="41">
        <v>206080</v>
      </c>
      <c r="G45" s="41">
        <f>21363+10120+5520+23000</f>
        <v>60003</v>
      </c>
      <c r="H45" s="41"/>
      <c r="I45" s="41"/>
      <c r="J45" s="41">
        <f>22939+24365+21344+27677+19550+23828+25239+25453+25913</f>
        <v>216308</v>
      </c>
      <c r="K45" s="42">
        <f t="shared" si="0"/>
        <v>3762927</v>
      </c>
      <c r="L45" s="41">
        <f>46000+118156</f>
        <v>164156</v>
      </c>
      <c r="M45" s="41">
        <v>12</v>
      </c>
      <c r="N45" s="41">
        <v>16</v>
      </c>
    </row>
    <row r="46" spans="1:14" ht="12.75">
      <c r="A46" s="48" t="s">
        <v>63</v>
      </c>
      <c r="B46" s="40">
        <v>120</v>
      </c>
      <c r="C46" s="41">
        <f>7393120+C55+C56+C57</f>
        <v>7578873</v>
      </c>
      <c r="D46" s="41">
        <f>1004272+D55+D56+D57</f>
        <v>1026702</v>
      </c>
      <c r="E46" s="41">
        <f>1198116+E55+E56+E57</f>
        <v>1225979</v>
      </c>
      <c r="F46" s="41">
        <v>69920</v>
      </c>
      <c r="G46" s="41">
        <f>55384+36800+97183+29440+68080+102120+378304+G55+G56+G57</f>
        <v>777912</v>
      </c>
      <c r="H46" s="41"/>
      <c r="I46" s="41"/>
      <c r="J46" s="41">
        <v>774890</v>
      </c>
      <c r="K46" s="42">
        <f t="shared" si="0"/>
        <v>11454276</v>
      </c>
      <c r="L46" s="41">
        <f>56600+964735</f>
        <v>1021335</v>
      </c>
      <c r="M46" s="41">
        <v>70</v>
      </c>
      <c r="N46" s="41">
        <v>73</v>
      </c>
    </row>
    <row r="47" spans="1:14" s="46" customFormat="1" ht="12.75">
      <c r="A47" s="44" t="s">
        <v>74</v>
      </c>
      <c r="B47" s="45">
        <v>121</v>
      </c>
      <c r="C47" s="45">
        <f>SUM(C40:C46)</f>
        <v>11768553</v>
      </c>
      <c r="D47" s="45">
        <f aca="true" t="shared" si="3" ref="D47:J47">SUM(D40:D46)</f>
        <v>1481550</v>
      </c>
      <c r="E47" s="45">
        <f t="shared" si="3"/>
        <v>2482883</v>
      </c>
      <c r="F47" s="45">
        <f t="shared" si="3"/>
        <v>305440</v>
      </c>
      <c r="G47" s="45">
        <f t="shared" si="3"/>
        <v>1161019</v>
      </c>
      <c r="H47" s="45">
        <f t="shared" si="3"/>
        <v>0</v>
      </c>
      <c r="I47" s="45">
        <f t="shared" si="3"/>
        <v>0</v>
      </c>
      <c r="J47" s="45">
        <f t="shared" si="3"/>
        <v>1238984</v>
      </c>
      <c r="K47" s="42">
        <f t="shared" si="0"/>
        <v>18438429</v>
      </c>
      <c r="L47" s="45">
        <f>SUM(L40:L46)</f>
        <v>1277491</v>
      </c>
      <c r="M47" s="45">
        <f>SUM(M40:M46)</f>
        <v>89</v>
      </c>
      <c r="N47" s="45">
        <f>SUM(N40:N46)</f>
        <v>96</v>
      </c>
    </row>
    <row r="48" spans="1:14" s="46" customFormat="1" ht="12.75">
      <c r="A48" s="44" t="s">
        <v>119</v>
      </c>
      <c r="B48" s="45">
        <v>152</v>
      </c>
      <c r="C48" s="45">
        <f>C32+C39+C47</f>
        <v>13834129</v>
      </c>
      <c r="D48" s="45">
        <f aca="true" t="shared" si="4" ref="D48:J48">D32+D39+D47</f>
        <v>1481550</v>
      </c>
      <c r="E48" s="45">
        <f t="shared" si="4"/>
        <v>2482883</v>
      </c>
      <c r="F48" s="45">
        <f t="shared" si="4"/>
        <v>305440</v>
      </c>
      <c r="G48" s="45">
        <f t="shared" si="4"/>
        <v>1254119</v>
      </c>
      <c r="H48" s="45">
        <f t="shared" si="4"/>
        <v>0</v>
      </c>
      <c r="I48" s="45">
        <f t="shared" si="4"/>
        <v>0</v>
      </c>
      <c r="J48" s="45">
        <f t="shared" si="4"/>
        <v>1408328</v>
      </c>
      <c r="K48" s="42">
        <f t="shared" si="0"/>
        <v>20766449</v>
      </c>
      <c r="L48" s="45">
        <f>L32+L39+L47</f>
        <v>1320954</v>
      </c>
      <c r="M48" s="45">
        <f>M32+M39+M47</f>
        <v>103</v>
      </c>
      <c r="N48" s="45">
        <f>N32+N39+N47</f>
        <v>103</v>
      </c>
    </row>
    <row r="49" spans="1:14" s="46" customFormat="1" ht="12.75">
      <c r="A49" s="44" t="s">
        <v>51</v>
      </c>
      <c r="B49" s="45">
        <v>158</v>
      </c>
      <c r="C49" s="49">
        <v>569250</v>
      </c>
      <c r="D49" s="49"/>
      <c r="E49" s="49"/>
      <c r="F49" s="49"/>
      <c r="G49" s="49">
        <v>19600</v>
      </c>
      <c r="H49" s="49"/>
      <c r="I49" s="49"/>
      <c r="J49" s="49">
        <f>5417+7808+8583+11463</f>
        <v>33271</v>
      </c>
      <c r="K49" s="42">
        <f t="shared" si="0"/>
        <v>622121</v>
      </c>
      <c r="L49" s="49">
        <v>32121</v>
      </c>
      <c r="M49" s="49">
        <v>4</v>
      </c>
      <c r="N49" s="49">
        <v>4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14403379</v>
      </c>
      <c r="D50" s="45">
        <f t="shared" si="5"/>
        <v>1481550</v>
      </c>
      <c r="E50" s="45">
        <f t="shared" si="5"/>
        <v>2482883</v>
      </c>
      <c r="F50" s="45">
        <f t="shared" si="5"/>
        <v>305440</v>
      </c>
      <c r="G50" s="45">
        <f t="shared" si="5"/>
        <v>1273719</v>
      </c>
      <c r="H50" s="45">
        <f t="shared" si="5"/>
        <v>0</v>
      </c>
      <c r="I50" s="45">
        <f t="shared" si="5"/>
        <v>0</v>
      </c>
      <c r="J50" s="45">
        <f t="shared" si="5"/>
        <v>1441599</v>
      </c>
      <c r="K50" s="42">
        <f t="shared" si="0"/>
        <v>21388570</v>
      </c>
      <c r="L50" s="45">
        <f>L48+L49</f>
        <v>1353075</v>
      </c>
      <c r="M50" s="45">
        <f>M48+M49</f>
        <v>107</v>
      </c>
      <c r="N50" s="45">
        <f>N48+N49</f>
        <v>107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1" t="s">
        <v>163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3"/>
    </row>
    <row r="53" spans="1:13" ht="12.75">
      <c r="A53" s="169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70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 t="s">
        <v>63</v>
      </c>
      <c r="B55" s="54">
        <f>IF(A55="","",VLOOKUP(A55,$A$12:$B$50,2,FALSE))</f>
        <v>120</v>
      </c>
      <c r="C55" s="55">
        <v>77105</v>
      </c>
      <c r="D55" s="55">
        <v>7710</v>
      </c>
      <c r="E55" s="55">
        <v>11566</v>
      </c>
      <c r="F55" s="55"/>
      <c r="G55" s="55">
        <f>2629+876</f>
        <v>3505</v>
      </c>
      <c r="H55" s="55"/>
      <c r="I55" s="55"/>
      <c r="J55" s="55"/>
      <c r="K55" s="55">
        <f>SUM(C55+D55+E55+F55+G55+H55+I55+J55)</f>
        <v>99886</v>
      </c>
      <c r="L55" s="55"/>
      <c r="M55" s="56">
        <v>1</v>
      </c>
      <c r="N55" s="160" t="s">
        <v>223</v>
      </c>
      <c r="O55" s="43"/>
    </row>
    <row r="56" spans="1:15" ht="12.75">
      <c r="A56" s="58" t="s">
        <v>63</v>
      </c>
      <c r="B56" s="58">
        <v>120</v>
      </c>
      <c r="C56" s="59">
        <v>63086</v>
      </c>
      <c r="D56" s="59">
        <v>7535</v>
      </c>
      <c r="E56" s="59">
        <v>9463</v>
      </c>
      <c r="F56" s="59"/>
      <c r="G56" s="59">
        <f>3154+876</f>
        <v>4030</v>
      </c>
      <c r="H56" s="59"/>
      <c r="I56" s="59"/>
      <c r="J56" s="59"/>
      <c r="K56" s="55">
        <f>SUM(C56+D56+E56+F56+G56+H56+I56+J56)</f>
        <v>84114</v>
      </c>
      <c r="L56" s="59"/>
      <c r="M56" s="60">
        <v>1</v>
      </c>
      <c r="N56" s="160" t="s">
        <v>224</v>
      </c>
      <c r="O56" s="43"/>
    </row>
    <row r="57" spans="1:15" ht="12.75">
      <c r="A57" s="58" t="s">
        <v>63</v>
      </c>
      <c r="B57" s="58">
        <f>IF(A57="","",VLOOKUP(A57,$A$12:$B$50,2,FALSE))</f>
        <v>120</v>
      </c>
      <c r="C57" s="59">
        <v>45562</v>
      </c>
      <c r="D57" s="59">
        <v>7185</v>
      </c>
      <c r="E57" s="59">
        <v>6834</v>
      </c>
      <c r="F57" s="59"/>
      <c r="G57" s="59">
        <f>2190+876</f>
        <v>3066</v>
      </c>
      <c r="H57" s="59"/>
      <c r="I57" s="59"/>
      <c r="J57" s="59"/>
      <c r="K57" s="55">
        <f>SUM(C57+D57+E57+F57+G57+H57+I57+J57)</f>
        <v>62647</v>
      </c>
      <c r="L57" s="59"/>
      <c r="M57" s="60">
        <v>1</v>
      </c>
      <c r="N57" s="160" t="s">
        <v>225</v>
      </c>
      <c r="O57" s="43"/>
    </row>
    <row r="59" spans="1:5" ht="12.75">
      <c r="A59" s="61" t="s">
        <v>21</v>
      </c>
      <c r="B59" s="164" t="s">
        <v>211</v>
      </c>
      <c r="C59" s="164"/>
      <c r="D59" s="164"/>
      <c r="E59" s="62"/>
    </row>
    <row r="60" spans="10:11" ht="12.75">
      <c r="J60" s="189" t="s">
        <v>208</v>
      </c>
      <c r="K60" s="189"/>
    </row>
    <row r="61" spans="10:11" ht="12.75">
      <c r="J61" s="188" t="s">
        <v>48</v>
      </c>
      <c r="K61" s="188"/>
    </row>
  </sheetData>
  <sheetProtection/>
  <mergeCells count="14">
    <mergeCell ref="J61:K61"/>
    <mergeCell ref="J60:K60"/>
    <mergeCell ref="B59:D59"/>
    <mergeCell ref="C10:D10"/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7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95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/>
      <c r="C60" s="164"/>
      <c r="D60" s="164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172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/>
      <c r="C60" s="164"/>
      <c r="D60" s="164"/>
      <c r="E60" s="164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96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/>
      <c r="C60" s="164"/>
      <c r="D60" s="164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173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/>
      <c r="C60" s="164"/>
      <c r="D60" s="164"/>
      <c r="E60" s="164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97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/>
      <c r="C60" s="164"/>
      <c r="D60" s="164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174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/>
      <c r="C60" s="164"/>
      <c r="D60" s="164"/>
      <c r="E60" s="164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/>
      <c r="L2" s="179"/>
    </row>
    <row r="3" spans="1:12" ht="12.75">
      <c r="A3" s="3"/>
      <c r="H3" s="4"/>
      <c r="I3" s="4"/>
      <c r="J3" s="5" t="s">
        <v>77</v>
      </c>
      <c r="K3" s="178"/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98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/>
      <c r="C60" s="164"/>
      <c r="D60" s="164"/>
      <c r="E60" s="62"/>
    </row>
    <row r="61" spans="10:11" ht="12.75">
      <c r="J61" s="189"/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/>
      <c r="I2" s="179"/>
    </row>
    <row r="3" spans="1:9" ht="12.75">
      <c r="A3" s="3"/>
      <c r="G3" s="5" t="s">
        <v>77</v>
      </c>
      <c r="H3" s="178"/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175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/>
      <c r="C60" s="164"/>
      <c r="D60" s="164"/>
      <c r="E60" s="164"/>
      <c r="F60" s="62"/>
    </row>
    <row r="61" spans="8:9" ht="12.75">
      <c r="H61" s="189"/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A1">
      <selection activeCell="B13" sqref="B13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97" t="s">
        <v>212</v>
      </c>
      <c r="L2" s="198"/>
    </row>
    <row r="3" spans="1:12" ht="12.75">
      <c r="A3" s="3"/>
      <c r="H3" s="4"/>
      <c r="I3" s="4"/>
      <c r="J3" s="5" t="s">
        <v>77</v>
      </c>
      <c r="K3" s="197" t="s">
        <v>210</v>
      </c>
      <c r="L3" s="198"/>
    </row>
    <row r="4" spans="1:7" ht="18" customHeight="1">
      <c r="A4" s="6"/>
      <c r="E4" s="202" t="s">
        <v>55</v>
      </c>
      <c r="F4" s="202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81" t="s">
        <v>82</v>
      </c>
      <c r="B5" s="181"/>
      <c r="C5" s="181"/>
      <c r="D5" s="181"/>
      <c r="E5" s="181"/>
      <c r="F5" s="181"/>
      <c r="G5" s="7" t="s">
        <v>83</v>
      </c>
      <c r="H5" s="180" t="s">
        <v>195</v>
      </c>
      <c r="I5" s="180"/>
      <c r="J5" s="180"/>
      <c r="K5" s="180"/>
      <c r="L5" s="180"/>
      <c r="M5" s="180"/>
      <c r="N5" s="180"/>
      <c r="O5" s="180"/>
      <c r="P5" s="180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6" t="s">
        <v>1</v>
      </c>
      <c r="D7" s="187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2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1897802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279200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148343</v>
      </c>
      <c r="K17" s="95">
        <f>'01'!K17+'13'!K17+'02'!K17+'03'!K17+'04'!K17+'05'!K17+'06'!K17+'07'!K17+'08'!K17+'09'!K17+'10'!K17+'11'!K17+'12'!K17</f>
        <v>2325345</v>
      </c>
      <c r="L17" s="95">
        <f>'01'!L17+'13'!L17+'02'!L17+'03'!L17+'04'!L17+'05'!L17+'06'!L17+'07'!L17+'08'!L17+'09'!L17+'10'!L17+'11'!L17+'12'!L17</f>
        <v>15000</v>
      </c>
      <c r="M17" s="142">
        <f>IF($G$4=0,0,('01'!M17+'13'!M17+'02'!M17+'03'!M17+'04'!M17+'05'!M17+'06'!M17+'07'!M17+'08'!M17+'09'!M17+'10'!M17+'11'!M17+'12'!M17)/$G$4)</f>
        <v>0.875</v>
      </c>
      <c r="N17" s="96">
        <v>7047000</v>
      </c>
      <c r="O17" s="97">
        <f t="shared" si="0"/>
        <v>0.3299765857811835</v>
      </c>
      <c r="P17" s="98">
        <f t="shared" si="1"/>
        <v>332192.14285714284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0.125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1126048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0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56897</v>
      </c>
      <c r="K23" s="95">
        <f>'01'!K23+'13'!K23+'02'!K23+'03'!K23+'04'!K23+'05'!K23+'06'!K23+'07'!K23+'08'!K23+'09'!K23+'10'!K23+'11'!K23+'12'!K23</f>
        <v>1182945</v>
      </c>
      <c r="L23" s="95">
        <f>'01'!L23+'13'!L23+'02'!L23+'03'!L23+'04'!L23+'05'!L23+'06'!L23+'07'!L23+'08'!L23+'09'!L23+'10'!L23+'11'!L23+'12'!L23</f>
        <v>10055</v>
      </c>
      <c r="M23" s="142">
        <f>IF($G$4=0,0,('01'!M23+'13'!M23+'02'!M23+'03'!M23+'04'!M23+'05'!M23+'06'!M23+'07'!M23+'08'!M23+'09'!M23+'10'!M23+'11'!M23+'12'!M23)/$G$4)</f>
        <v>1.125</v>
      </c>
      <c r="N23" s="96">
        <v>1690000</v>
      </c>
      <c r="O23" s="97">
        <f t="shared" si="0"/>
        <v>0.6999674556213018</v>
      </c>
      <c r="P23" s="98">
        <f t="shared" si="1"/>
        <v>131438.33333333334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1587452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114148</v>
      </c>
      <c r="K24" s="95">
        <f>'01'!K24+'13'!K24+'02'!K24+'03'!K24+'04'!K24+'05'!K24+'06'!K24+'07'!K24+'08'!K24+'09'!K24+'10'!K24+'11'!K24+'12'!K24</f>
        <v>1701600</v>
      </c>
      <c r="L24" s="95">
        <f>'01'!L24+'13'!L24+'02'!L24+'03'!L24+'04'!L24+'05'!L24+'06'!L24+'07'!L24+'08'!L24+'09'!L24+'10'!L24+'11'!L24+'12'!L24</f>
        <v>64859</v>
      </c>
      <c r="M24" s="142">
        <f>IF($G$4=0,0,('01'!M24+'13'!M24+'02'!M24+'03'!M24+'04'!M24+'05'!M24+'06'!M24+'07'!M24+'08'!M24+'09'!M24+'10'!M24+'11'!M24+'12'!M24)/$G$4)</f>
        <v>2</v>
      </c>
      <c r="N24" s="96">
        <v>2646000</v>
      </c>
      <c r="O24" s="97">
        <f t="shared" si="0"/>
        <v>0.6430839002267573</v>
      </c>
      <c r="P24" s="98">
        <f t="shared" si="1"/>
        <v>106350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7375256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104700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538060</v>
      </c>
      <c r="K25" s="95">
        <f>'01'!K25+'13'!K25+'02'!K25+'03'!K25+'04'!K25+'05'!K25+'06'!K25+'07'!K25+'08'!K25+'09'!K25+'10'!K25+'11'!K25+'12'!K25</f>
        <v>8018016</v>
      </c>
      <c r="L25" s="95">
        <f>'01'!L25+'13'!L25+'02'!L25+'03'!L25+'04'!L25+'05'!L25+'06'!L25+'07'!L25+'08'!L25+'09'!L25+'10'!L25+'11'!L25+'12'!L25</f>
        <v>103394</v>
      </c>
      <c r="M25" s="142">
        <f>IF($G$4=0,0,('01'!M25+'13'!M25+'02'!M25+'03'!M25+'04'!M25+'05'!M25+'06'!M25+'07'!M25+'08'!M25+'09'!M25+'10'!M25+'11'!M25+'12'!M25)/$G$4)</f>
        <v>7.5</v>
      </c>
      <c r="N25" s="96">
        <v>13721000</v>
      </c>
      <c r="O25" s="97">
        <f t="shared" si="0"/>
        <v>0.5843609066394577</v>
      </c>
      <c r="P25" s="98">
        <f t="shared" si="1"/>
        <v>133633.6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2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3037770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69800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211655</v>
      </c>
      <c r="K27" s="95">
        <f>'01'!K27+'13'!K27+'02'!K27+'03'!K27+'04'!K27+'05'!K27+'06'!K27+'07'!K27+'08'!K27+'09'!K27+'10'!K27+'11'!K27+'12'!K27</f>
        <v>3319225</v>
      </c>
      <c r="L27" s="95">
        <f>'01'!L27+'13'!L27+'02'!L27+'03'!L27+'04'!L27+'05'!L27+'06'!L27+'07'!L27+'08'!L27+'09'!L27+'10'!L27+'11'!L27+'12'!L27</f>
        <v>154500</v>
      </c>
      <c r="M27" s="142">
        <f>IF($G$4=0,0,('01'!M27+'13'!M27+'02'!M27+'03'!M27+'04'!M27+'05'!M27+'06'!M27+'07'!M27+'08'!M27+'09'!M27+'10'!M27+'11'!M27+'12'!M27)/$G$4)</f>
        <v>2.125</v>
      </c>
      <c r="N27" s="96">
        <v>4713000</v>
      </c>
      <c r="O27" s="97">
        <f t="shared" si="0"/>
        <v>0.7042701039677488</v>
      </c>
      <c r="P27" s="98">
        <f t="shared" si="1"/>
        <v>195248.5294117647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</v>
      </c>
      <c r="N28" s="96"/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1865548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209400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144434</v>
      </c>
      <c r="K29" s="95">
        <f>'01'!K29+'13'!K29+'02'!K29+'03'!K29+'04'!K29+'05'!K29+'06'!K29+'07'!K29+'08'!K29+'09'!K29+'10'!K29+'11'!K29+'12'!K29</f>
        <v>2219382</v>
      </c>
      <c r="L29" s="95">
        <f>'01'!L29+'13'!L29+'02'!L29+'03'!L29+'04'!L29+'05'!L29+'06'!L29+'07'!L29+'08'!L29+'09'!L29+'10'!L29+'11'!L29+'12'!L29</f>
        <v>15000</v>
      </c>
      <c r="M29" s="142">
        <f>IF($G$4=0,0,('01'!M29+'13'!M29+'02'!M29+'03'!M29+'04'!M29+'05'!M29+'06'!M29+'07'!M29+'08'!M29+'09'!M29+'10'!M29+'11'!M29+'12'!M29)/$G$4)</f>
        <v>1</v>
      </c>
      <c r="N29" s="96"/>
      <c r="O29" s="97">
        <f t="shared" si="0"/>
        <v>0</v>
      </c>
      <c r="P29" s="98">
        <f t="shared" si="1"/>
        <v>277422.75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2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16889876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1">
        <f t="shared" si="2"/>
        <v>663100</v>
      </c>
      <c r="H32" s="141">
        <f t="shared" si="2"/>
        <v>0</v>
      </c>
      <c r="I32" s="141">
        <f t="shared" si="2"/>
        <v>0</v>
      </c>
      <c r="J32" s="141">
        <f t="shared" si="2"/>
        <v>1213537</v>
      </c>
      <c r="K32" s="141">
        <f t="shared" si="2"/>
        <v>18766513</v>
      </c>
      <c r="L32" s="141">
        <f t="shared" si="2"/>
        <v>362808</v>
      </c>
      <c r="M32" s="143">
        <f>SUM(M12:M31)</f>
        <v>14.75</v>
      </c>
      <c r="N32" s="141">
        <f>SUM(N12:N31)</f>
        <v>29817000</v>
      </c>
      <c r="O32" s="97">
        <f t="shared" si="0"/>
        <v>0.6293897105677969</v>
      </c>
      <c r="P32" s="98">
        <f t="shared" si="1"/>
        <v>159038.24576271186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2405728</v>
      </c>
      <c r="D42" s="95">
        <f>'01'!D42+'13'!D42+'02'!D42+'03'!D42+'04'!D42+'05'!D42+'06'!D42+'07'!D42+'08'!D42+'09'!D42+'10'!D42+'11'!D42+'12'!D42</f>
        <v>225708</v>
      </c>
      <c r="E42" s="95">
        <f>'01'!E42+'13'!E42+'02'!E42+'03'!E42+'04'!E42+'05'!E42+'06'!E42+'07'!E42+'08'!E42+'09'!E42+'10'!E42+'11'!E42+'12'!E42</f>
        <v>644880</v>
      </c>
      <c r="F42" s="95">
        <f>'01'!F42+'13'!F42+'02'!F42+'03'!F42+'04'!F42+'05'!F42+'06'!F42+'07'!F42+'08'!F42+'09'!F42+'10'!F42+'11'!F42+'12'!F42</f>
        <v>26870</v>
      </c>
      <c r="G42" s="95">
        <f>'01'!G42+'13'!G42+'02'!G42+'03'!G42+'04'!G42+'05'!G42+'06'!G42+'07'!G42+'08'!G42+'09'!G42+'10'!G42+'11'!G42+'12'!G42</f>
        <v>694350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266922</v>
      </c>
      <c r="K42" s="95">
        <f>'01'!K42+'13'!K42+'02'!K42+'03'!K42+'04'!K42+'05'!K42+'06'!K42+'07'!K42+'08'!K42+'09'!K42+'10'!K42+'11'!K42+'12'!K42</f>
        <v>4264458</v>
      </c>
      <c r="L42" s="95">
        <f>'01'!L42+'13'!L42+'02'!L42+'03'!L42+'04'!L42+'05'!L42+'06'!L42+'07'!L42+'08'!L42+'09'!L42+'10'!L42+'11'!L42+'12'!L42</f>
        <v>15000</v>
      </c>
      <c r="M42" s="142">
        <f>IF($G$4=0,0,('01'!M42+'13'!M42+'02'!M42+'03'!M42+'04'!M42+'05'!M42+'06'!M42+'07'!M42+'08'!M42+'09'!M42+'10'!M42+'11'!M42+'12'!M42)/$G$4)</f>
        <v>1</v>
      </c>
      <c r="N42" s="96">
        <v>6659000</v>
      </c>
      <c r="O42" s="97">
        <f t="shared" si="0"/>
        <v>0.640405165940832</v>
      </c>
      <c r="P42" s="98">
        <f t="shared" si="1"/>
        <v>533057.25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4486176</v>
      </c>
      <c r="D43" s="95">
        <f>'01'!D43+'13'!D43+'02'!D43+'03'!D43+'04'!D43+'05'!D43+'06'!D43+'07'!D43+'08'!D43+'09'!D43+'10'!D43+'11'!D43+'12'!D43</f>
        <v>386934</v>
      </c>
      <c r="E43" s="95">
        <f>'01'!E43+'13'!E43+'02'!E43+'03'!E43+'04'!E43+'05'!E43+'06'!E43+'07'!E43+'08'!E43+'09'!E43+'10'!E43+'11'!E43+'12'!E43</f>
        <v>1209156</v>
      </c>
      <c r="F43" s="95">
        <f>'01'!F43+'13'!F43+'02'!F43+'03'!F43+'04'!F43+'05'!F43+'06'!F43+'07'!F43+'08'!F43+'09'!F43+'10'!F43+'11'!F43+'12'!F43</f>
        <v>188090</v>
      </c>
      <c r="G43" s="95">
        <f>'01'!G43+'13'!G43+'02'!G43+'03'!G43+'04'!G43+'05'!G43+'06'!G43+'07'!G43+'08'!G43+'09'!G43+'10'!G43+'11'!G43+'12'!G43</f>
        <v>839686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554530</v>
      </c>
      <c r="K43" s="95">
        <f>'01'!K43+'13'!K43+'02'!K43+'03'!K43+'04'!K43+'05'!K43+'06'!K43+'07'!K43+'08'!K43+'09'!K43+'10'!K43+'11'!K43+'12'!K43</f>
        <v>7664572</v>
      </c>
      <c r="L43" s="95">
        <f>'01'!L43+'13'!L43+'02'!L43+'03'!L43+'04'!L43+'05'!L43+'06'!L43+'07'!L43+'08'!L43+'09'!L43+'10'!L43+'11'!L43+'12'!L43</f>
        <v>164350</v>
      </c>
      <c r="M43" s="142">
        <f>IF($G$4=0,0,('01'!M43+'13'!M43+'02'!M43+'03'!M43+'04'!M43+'05'!M43+'06'!M43+'07'!M43+'08'!M43+'09'!M43+'10'!M43+'11'!M43+'12'!M43)/$G$4)</f>
        <v>2</v>
      </c>
      <c r="N43" s="96">
        <v>11848000</v>
      </c>
      <c r="O43" s="97">
        <f t="shared" si="0"/>
        <v>0.6469085077650236</v>
      </c>
      <c r="P43" s="98">
        <f t="shared" si="1"/>
        <v>479035.75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8298704</v>
      </c>
      <c r="D44" s="95">
        <f>'01'!D44+'13'!D44+'02'!D44+'03'!D44+'04'!D44+'05'!D44+'06'!D44+'07'!D44+'08'!D44+'09'!D44+'10'!D44+'11'!D44+'12'!D44</f>
        <v>709380</v>
      </c>
      <c r="E44" s="95">
        <f>'01'!E44+'13'!E44+'02'!E44+'03'!E44+'04'!E44+'05'!E44+'06'!E44+'07'!E44+'08'!E44+'09'!E44+'10'!E44+'11'!E44+'12'!E44</f>
        <v>2257080</v>
      </c>
      <c r="F44" s="95">
        <f>'01'!F44+'13'!F44+'02'!F44+'03'!F44+'04'!F44+'05'!F44+'06'!F44+'07'!F44+'08'!F44+'09'!F44+'10'!F44+'11'!F44+'12'!F44</f>
        <v>7730</v>
      </c>
      <c r="G44" s="95">
        <f>'01'!G44+'13'!G44+'02'!G44+'03'!G44+'04'!G44+'05'!G44+'06'!G44+'07'!G44+'08'!G44+'09'!G44+'10'!G44+'11'!G44+'12'!G44</f>
        <v>826254</v>
      </c>
      <c r="H44" s="95">
        <f>'01'!H44+'13'!H44+'02'!H44+'03'!H44+'04'!H44+'05'!H44+'06'!H44+'07'!H44+'08'!H44+'09'!H44+'10'!H44+'11'!H44+'12'!H44</f>
        <v>0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943344</v>
      </c>
      <c r="K44" s="95">
        <f>'01'!K44+'13'!K44+'02'!K44+'03'!K44+'04'!K44+'05'!K44+'06'!K44+'07'!K44+'08'!K44+'09'!K44+'10'!K44+'11'!K44+'12'!K44</f>
        <v>13042492</v>
      </c>
      <c r="L44" s="95">
        <f>'01'!L44+'13'!L44+'02'!L44+'03'!L44+'04'!L44+'05'!L44+'06'!L44+'07'!L44+'08'!L44+'09'!L44+'10'!L44+'11'!L44+'12'!L44</f>
        <v>578900</v>
      </c>
      <c r="M44" s="142">
        <f>IF($G$4=0,0,('01'!M44+'13'!M44+'02'!M44+'03'!M44+'04'!M44+'05'!M44+'06'!M44+'07'!M44+'08'!M44+'09'!M44+'10'!M44+'11'!M44+'12'!M44)/$G$4)</f>
        <v>4</v>
      </c>
      <c r="N44" s="96">
        <v>20148000</v>
      </c>
      <c r="O44" s="97">
        <f t="shared" si="0"/>
        <v>0.6473343259876911</v>
      </c>
      <c r="P44" s="98">
        <f t="shared" si="1"/>
        <v>407577.875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14417872</v>
      </c>
      <c r="D45" s="95">
        <f>'01'!D45+'13'!D45+'02'!D45+'03'!D45+'04'!D45+'05'!D45+'06'!D45+'07'!D45+'08'!D45+'09'!D45+'10'!D45+'11'!D45+'12'!D45</f>
        <v>1564824</v>
      </c>
      <c r="E45" s="95">
        <f>'01'!E45+'13'!E45+'02'!E45+'03'!E45+'04'!E45+'05'!E45+'06'!E45+'07'!E45+'08'!E45+'09'!E45+'10'!E45+'11'!E45+'12'!E45</f>
        <v>3970632</v>
      </c>
      <c r="F45" s="95">
        <f>'01'!F45+'13'!F45+'02'!F45+'03'!F45+'04'!F45+'05'!F45+'06'!F45+'07'!F45+'08'!F45+'09'!F45+'10'!F45+'11'!F45+'12'!F45</f>
        <v>1082331</v>
      </c>
      <c r="G45" s="95">
        <f>'01'!G45+'13'!G45+'02'!G45+'03'!G45+'04'!G45+'05'!G45+'06'!G45+'07'!G45+'08'!G45+'09'!G45+'10'!G45+'11'!G45+'12'!G45</f>
        <v>535778</v>
      </c>
      <c r="H45" s="95">
        <f>'01'!H45+'13'!H45+'02'!H45+'03'!H45+'04'!H45+'05'!H45+'06'!H45+'07'!H45+'08'!H45+'09'!H45+'10'!H45+'11'!H45+'12'!H45</f>
        <v>0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1584450</v>
      </c>
      <c r="K45" s="95">
        <f>'01'!K45+'13'!K45+'02'!K45+'03'!K45+'04'!K45+'05'!K45+'06'!K45+'07'!K45+'08'!K45+'09'!K45+'10'!K45+'11'!K45+'12'!K45</f>
        <v>23155887</v>
      </c>
      <c r="L45" s="95">
        <f>'01'!L45+'13'!L45+'02'!L45+'03'!L45+'04'!L45+'05'!L45+'06'!L45+'07'!L45+'08'!L45+'09'!L45+'10'!L45+'11'!L45+'12'!L45</f>
        <v>1289101</v>
      </c>
      <c r="M45" s="142">
        <f>IF($G$4=0,0,('01'!M45+'13'!M45+'02'!M45+'03'!M45+'04'!M45+'05'!M45+'06'!M45+'07'!M45+'08'!M45+'09'!M45+'10'!M45+'11'!M45+'12'!M45)/$G$4)</f>
        <v>9.375</v>
      </c>
      <c r="N45" s="96">
        <v>57375000</v>
      </c>
      <c r="O45" s="97">
        <f t="shared" si="0"/>
        <v>0.40358844444444447</v>
      </c>
      <c r="P45" s="98">
        <f t="shared" si="1"/>
        <v>308745.16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60531724</v>
      </c>
      <c r="D46" s="95">
        <f>'01'!D46+'13'!D46+'02'!D46+'03'!D46+'04'!D46+'05'!D46+'06'!D46+'07'!D46+'08'!D46+'09'!D46+'10'!D46+'11'!D46+'12'!D46</f>
        <v>7511030</v>
      </c>
      <c r="E46" s="95">
        <f>'01'!E46+'13'!E46+'02'!E46+'03'!E46+'04'!E46+'05'!E46+'06'!E46+'07'!E46+'08'!E46+'09'!E46+'10'!E46+'11'!E46+'12'!E46</f>
        <v>9069331</v>
      </c>
      <c r="F46" s="95">
        <f>'01'!F46+'13'!F46+'02'!F46+'03'!F46+'04'!F46+'05'!F46+'06'!F46+'07'!F46+'08'!F46+'09'!F46+'10'!F46+'11'!F46+'12'!F46</f>
        <v>640560</v>
      </c>
      <c r="G46" s="95">
        <f>'01'!G46+'13'!G46+'02'!G46+'03'!G46+'04'!G46+'05'!G46+'06'!G46+'07'!G46+'08'!G46+'09'!G46+'10'!G46+'11'!G46+'12'!G46</f>
        <v>11648215</v>
      </c>
      <c r="H46" s="95">
        <f>'01'!H46+'13'!H46+'02'!H46+'03'!H46+'04'!H46+'05'!H46+'06'!H46+'07'!H46+'08'!H46+'09'!H46+'10'!H46+'11'!H46+'12'!H46</f>
        <v>0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6137890</v>
      </c>
      <c r="K46" s="95">
        <f>'01'!K46+'13'!K46+'02'!K46+'03'!K46+'04'!K46+'05'!K46+'06'!K46+'07'!K46+'08'!K46+'09'!K46+'10'!K46+'11'!K46+'12'!K46</f>
        <v>95538750</v>
      </c>
      <c r="L46" s="95">
        <f>'01'!L46+'13'!L46+'02'!L46+'03'!L46+'04'!L46+'05'!L46+'06'!L46+'07'!L46+'08'!L46+'09'!L46+'10'!L46+'11'!L46+'12'!L46</f>
        <v>7460468</v>
      </c>
      <c r="M46" s="142">
        <f>IF($G$4=0,0,('01'!M46+'13'!M46+'02'!M46+'03'!M46+'04'!M46+'05'!M46+'06'!M46+'07'!M46+'08'!M46+'09'!M46+'10'!M46+'11'!M46+'12'!M46)/$G$4)</f>
        <v>68</v>
      </c>
      <c r="N46" s="96">
        <v>134130000</v>
      </c>
      <c r="O46" s="97">
        <f t="shared" si="0"/>
        <v>0.7122847237754417</v>
      </c>
      <c r="P46" s="98">
        <f t="shared" si="1"/>
        <v>175622.70220588235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90140204</v>
      </c>
      <c r="D47" s="141">
        <f t="shared" si="4"/>
        <v>10397876</v>
      </c>
      <c r="E47" s="141">
        <f t="shared" si="4"/>
        <v>17151079</v>
      </c>
      <c r="F47" s="141">
        <f t="shared" si="4"/>
        <v>1945581</v>
      </c>
      <c r="G47" s="141">
        <f t="shared" si="4"/>
        <v>14544283</v>
      </c>
      <c r="H47" s="141">
        <f t="shared" si="4"/>
        <v>0</v>
      </c>
      <c r="I47" s="141">
        <f t="shared" si="4"/>
        <v>0</v>
      </c>
      <c r="J47" s="141">
        <f t="shared" si="4"/>
        <v>9487136</v>
      </c>
      <c r="K47" s="141">
        <f t="shared" si="4"/>
        <v>143666159</v>
      </c>
      <c r="L47" s="141">
        <f t="shared" si="4"/>
        <v>9507819</v>
      </c>
      <c r="M47" s="143">
        <f>SUM(M40:M46)</f>
        <v>84.375</v>
      </c>
      <c r="N47" s="141">
        <f>SUM(N40:N46)</f>
        <v>230160000</v>
      </c>
      <c r="O47" s="97">
        <f t="shared" si="0"/>
        <v>0.6242012469586374</v>
      </c>
      <c r="P47" s="98">
        <f t="shared" si="1"/>
        <v>212838.75407407407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107030080</v>
      </c>
      <c r="D48" s="141">
        <f t="shared" si="5"/>
        <v>10397876</v>
      </c>
      <c r="E48" s="141">
        <f t="shared" si="5"/>
        <v>17151079</v>
      </c>
      <c r="F48" s="141">
        <f t="shared" si="5"/>
        <v>1945581</v>
      </c>
      <c r="G48" s="141">
        <f t="shared" si="5"/>
        <v>15207383</v>
      </c>
      <c r="H48" s="141">
        <f t="shared" si="5"/>
        <v>0</v>
      </c>
      <c r="I48" s="141">
        <f t="shared" si="5"/>
        <v>0</v>
      </c>
      <c r="J48" s="141">
        <f t="shared" si="5"/>
        <v>10700673</v>
      </c>
      <c r="K48" s="141">
        <f t="shared" si="5"/>
        <v>162432672</v>
      </c>
      <c r="L48" s="141">
        <f t="shared" si="5"/>
        <v>9870627</v>
      </c>
      <c r="M48" s="143">
        <f>M32+M39+M47</f>
        <v>99.125</v>
      </c>
      <c r="N48" s="141">
        <f>N32+N39+N47</f>
        <v>259977000</v>
      </c>
      <c r="O48" s="97">
        <f t="shared" si="0"/>
        <v>0.6247963165972374</v>
      </c>
      <c r="P48" s="98">
        <f t="shared" si="1"/>
        <v>204833.12988650694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4480939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139600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338005</v>
      </c>
      <c r="K49" s="140">
        <f>'01'!K49+'13'!K49+'02'!K49+'03'!K49+'04'!K49+'05'!K49+'06'!K49+'07'!K49+'08'!K49+'09'!K49+'10'!K49+'11'!K49+'12'!K49</f>
        <v>4958544</v>
      </c>
      <c r="L49" s="140">
        <f>'01'!L49+'13'!L49+'02'!L49+'03'!L49+'04'!L49+'05'!L49+'06'!L49+'07'!L49+'08'!L49+'09'!L49+'10'!L49+'11'!L49+'12'!L49</f>
        <v>125318</v>
      </c>
      <c r="M49" s="142">
        <f>IF($G$4=0,0,('01'!M49+'13'!M49+'02'!M49+'03'!M49+'04'!M49+'05'!M49+'06'!M49+'07'!M49+'08'!M49+'09'!M49+'10'!M49+'11'!M49+'12'!M49)/$G$4)</f>
        <v>4</v>
      </c>
      <c r="N49" s="96">
        <v>6316000</v>
      </c>
      <c r="O49" s="97">
        <f t="shared" si="0"/>
        <v>0.785076630778974</v>
      </c>
      <c r="P49" s="98">
        <f t="shared" si="1"/>
        <v>154954.5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111511019</v>
      </c>
      <c r="D50" s="141">
        <f t="shared" si="6"/>
        <v>10397876</v>
      </c>
      <c r="E50" s="141">
        <f t="shared" si="6"/>
        <v>17151079</v>
      </c>
      <c r="F50" s="141">
        <f t="shared" si="6"/>
        <v>1945581</v>
      </c>
      <c r="G50" s="141">
        <f t="shared" si="6"/>
        <v>15346983</v>
      </c>
      <c r="H50" s="141">
        <f t="shared" si="6"/>
        <v>0</v>
      </c>
      <c r="I50" s="141">
        <f t="shared" si="6"/>
        <v>0</v>
      </c>
      <c r="J50" s="141">
        <f t="shared" si="6"/>
        <v>11038678</v>
      </c>
      <c r="K50" s="141">
        <f t="shared" si="6"/>
        <v>167391216</v>
      </c>
      <c r="L50" s="141">
        <f t="shared" si="6"/>
        <v>9995945</v>
      </c>
      <c r="M50" s="143">
        <f>M48+M49</f>
        <v>103.125</v>
      </c>
      <c r="N50" s="141">
        <f>N48+N49</f>
        <v>266293000</v>
      </c>
      <c r="O50" s="97">
        <f t="shared" si="0"/>
        <v>0.62859788278325</v>
      </c>
      <c r="P50" s="98">
        <f t="shared" si="1"/>
        <v>202898.44363636363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58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9"/>
      <c r="N55" s="158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59"/>
      <c r="N56" s="158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59"/>
      <c r="N57" s="158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8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6"/>
      <c r="L59" s="55"/>
      <c r="M59" s="59"/>
      <c r="N59" s="158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8"/>
      <c r="L60" s="59"/>
      <c r="M60" s="59"/>
      <c r="N60" s="158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8"/>
      <c r="L61" s="59"/>
      <c r="M61" s="59"/>
      <c r="N61" s="158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164" t="s">
        <v>234</v>
      </c>
      <c r="C76" s="199"/>
      <c r="D76" s="199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89" t="s">
        <v>208</v>
      </c>
      <c r="K77" s="200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201" t="s">
        <v>48</v>
      </c>
      <c r="K78" s="201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J78:K78"/>
    <mergeCell ref="C7:D7"/>
    <mergeCell ref="K3:L3"/>
    <mergeCell ref="E4:F4"/>
    <mergeCell ref="A5:F5"/>
    <mergeCell ref="H5:P5"/>
    <mergeCell ref="A52:M52"/>
    <mergeCell ref="A53:A54"/>
    <mergeCell ref="K2:L2"/>
    <mergeCell ref="B76:D76"/>
    <mergeCell ref="J77:K77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0" zoomScaleNormal="70" zoomScalePageLayoutView="0" workbookViewId="0" topLeftCell="A1">
      <selection activeCell="O65" sqref="O65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Baranya Megyei Büntetés-végrehajtási Intézet</v>
      </c>
    </row>
    <row r="2" spans="1:10" ht="12.75">
      <c r="A2" s="3" t="s">
        <v>71</v>
      </c>
      <c r="H2" s="5" t="s">
        <v>0</v>
      </c>
      <c r="I2" s="197" t="s">
        <v>212</v>
      </c>
      <c r="J2" s="198"/>
    </row>
    <row r="3" spans="1:10" ht="12.75">
      <c r="A3" s="3"/>
      <c r="H3" s="5" t="s">
        <v>77</v>
      </c>
      <c r="I3" s="197" t="s">
        <v>210</v>
      </c>
      <c r="J3" s="198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81" t="s">
        <v>85</v>
      </c>
      <c r="B5" s="181"/>
      <c r="C5" s="181"/>
      <c r="D5" s="181"/>
      <c r="E5" s="181"/>
      <c r="F5" s="181"/>
      <c r="G5" s="7" t="s">
        <v>83</v>
      </c>
      <c r="H5" s="180" t="s">
        <v>196</v>
      </c>
      <c r="I5" s="180"/>
      <c r="J5" s="180"/>
      <c r="K5" s="180"/>
      <c r="L5" s="180"/>
      <c r="M5" s="180"/>
      <c r="N5" s="180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678697.78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69621.45999999999</v>
      </c>
      <c r="F17" s="95">
        <f>'01M'!F17+'13M'!F17+'02M'!F17+'03M'!F17+'04M'!F17+'05M'!F17+'06M'!F17+'07M'!F17+'08M'!F17+'09M'!F17+'10M'!F17+'11M'!F17+'12M'!F17</f>
        <v>13650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761969.24</v>
      </c>
      <c r="K17" s="142">
        <f>'01M'!K17+'13M'!K17+'02M'!K17+'03M'!K17+'04M'!K17+'05M'!K17+'06M'!K17+'07M'!K17+'08M'!K17+'09M'!K17+'10M'!K17+'11M'!K17+'12M'!K17</f>
        <v>0</v>
      </c>
      <c r="L17" s="96">
        <v>2278440</v>
      </c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370705.88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37517.16</v>
      </c>
      <c r="F23" s="95">
        <f>'01M'!F23+'13M'!F23+'02M'!F23+'03M'!F23+'04M'!F23+'05M'!F23+'06M'!F23+'07M'!F23+'08M'!F23+'09M'!F23+'10M'!F23+'11M'!F23+'12M'!F23</f>
        <v>15600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423823.04000000004</v>
      </c>
      <c r="K23" s="142">
        <f>'01M'!K23+'13M'!K23+'02M'!K23+'03M'!K23+'04M'!K23+'05M'!K23+'06M'!K23+'07M'!K23+'08M'!K23+'09M'!K23+'10M'!K23+'11M'!K23+'12M'!K23</f>
        <v>0</v>
      </c>
      <c r="L23" s="96">
        <v>569530</v>
      </c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543146.0800000001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56546.56</v>
      </c>
      <c r="F24" s="95">
        <f>'01M'!F24+'13M'!F24+'02M'!F24+'03M'!F24+'04M'!F24+'05M'!F24+'06M'!F24+'07M'!F24+'08M'!F24+'09M'!F24+'10M'!F24+'11M'!F24+'12M'!F24</f>
        <v>27300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626992.64</v>
      </c>
      <c r="K24" s="142">
        <f>'01M'!K24+'13M'!K24+'02M'!K24+'03M'!K24+'04M'!K24+'05M'!K24+'06M'!K24+'07M'!K24+'08M'!K24+'09M'!K24+'10M'!K24+'11M'!K24+'12M'!K24</f>
        <v>0</v>
      </c>
      <c r="L24" s="96">
        <v>893520</v>
      </c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2366302.0300000003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244478.21</v>
      </c>
      <c r="F25" s="95">
        <f>'01M'!F25+'13M'!F25+'02M'!F25+'03M'!F25+'04M'!F25+'05M'!F25+'06M'!F25+'07M'!F25+'08M'!F25+'09M'!F25+'10M'!F25+'11M'!F25+'12M'!F25</f>
        <v>99353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2710133.24</v>
      </c>
      <c r="K25" s="142">
        <f>'01M'!K25+'13M'!K25+'02M'!K25+'03M'!K25+'04M'!K25+'05M'!K25+'06M'!K25+'07M'!K25+'08M'!K25+'09M'!K25+'10M'!K25+'11M'!K25+'12M'!K25</f>
        <v>0</v>
      </c>
      <c r="L25" s="96">
        <v>4623977</v>
      </c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42">
        <f>'01M'!K26+'13M'!K26+'02M'!K26+'03M'!K26+'04M'!K26+'05M'!K26+'06M'!K26+'07M'!K26+'08M'!K26+'09M'!K26+'10M'!K26+'11M'!K26+'12M'!K26</f>
        <v>0</v>
      </c>
      <c r="L26" s="96"/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976492.8200000001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101014.73999999999</v>
      </c>
      <c r="F27" s="95">
        <f>'01M'!F27+'13M'!F27+'02M'!F27+'03M'!F27+'04M'!F27+'05M'!F27+'06M'!F27+'07M'!F27+'08M'!F27+'09M'!F27+'10M'!F27+'11M'!F27+'12M'!F27</f>
        <v>30884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1108391.56</v>
      </c>
      <c r="K27" s="142">
        <f>'01M'!K27+'13M'!K27+'02M'!K27+'03M'!K27+'04M'!K27+'05M'!K27+'06M'!K27+'07M'!K27+'08M'!K27+'09M'!K27+'10M'!K27+'11M'!K27+'12M'!K27</f>
        <v>0</v>
      </c>
      <c r="L27" s="96">
        <v>1558281</v>
      </c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/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647972.9199999999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67033.44</v>
      </c>
      <c r="F29" s="95">
        <f>'01M'!F29+'13M'!F29+'02M'!F29+'03M'!F29+'04M'!F29+'05M'!F29+'06M'!F29+'07M'!F29+'08M'!F29+'09M'!F29+'10M'!F29+'11M'!F29+'12M'!F29</f>
        <v>13650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728656.36</v>
      </c>
      <c r="K29" s="142">
        <f>'01M'!K29+'13M'!K29+'02M'!K29+'03M'!K29+'04M'!K29+'05M'!K29+'06M'!K29+'07M'!K29+'08M'!K29+'09M'!K29+'10M'!K29+'11M'!K29+'12M'!K29</f>
        <v>0</v>
      </c>
      <c r="L29" s="96"/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2">
        <f>'01M'!K30+'13M'!K30+'02M'!K30+'03M'!K30+'04M'!K30+'05M'!K30+'06M'!K30+'07M'!K30+'08M'!K30+'09M'!K30+'10M'!K30+'11M'!K30+'12M'!K30</f>
        <v>0</v>
      </c>
      <c r="L30" s="96"/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5583317.510000001</v>
      </c>
      <c r="D32" s="141">
        <f t="shared" si="2"/>
        <v>0</v>
      </c>
      <c r="E32" s="141">
        <f t="shared" si="2"/>
        <v>576211.5700000001</v>
      </c>
      <c r="F32" s="141">
        <f t="shared" si="2"/>
        <v>200437</v>
      </c>
      <c r="G32" s="141">
        <f t="shared" si="2"/>
        <v>0</v>
      </c>
      <c r="H32" s="141">
        <f t="shared" si="2"/>
        <v>0</v>
      </c>
      <c r="I32" s="141">
        <f t="shared" si="2"/>
        <v>0</v>
      </c>
      <c r="J32" s="141">
        <f t="shared" si="2"/>
        <v>6359966.080000001</v>
      </c>
      <c r="K32" s="143">
        <f>SUM(K12:K31)</f>
        <v>0</v>
      </c>
      <c r="L32" s="141">
        <f>SUM(L12:L31)</f>
        <v>9923748</v>
      </c>
      <c r="M32" s="97">
        <f t="shared" si="0"/>
        <v>0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1638152.12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168117.84</v>
      </c>
      <c r="F42" s="95">
        <f>'01M'!F42+'13M'!F42+'02M'!F42+'03M'!F42+'04M'!F42+'05M'!F42+'06M'!F42+'07M'!F42+'08M'!F42+'09M'!F42+'10M'!F42+'11M'!F42+'12M'!F42</f>
        <v>13650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1819919.96</v>
      </c>
      <c r="K42" s="142">
        <f>'01M'!K42+'13M'!K42+'02M'!K42+'03M'!K42+'04M'!K42+'05M'!K42+'06M'!K42+'07M'!K42+'08M'!K42+'09M'!K42+'10M'!K42+'11M'!K42+'12M'!K42</f>
        <v>0</v>
      </c>
      <c r="L42" s="96">
        <v>2244083</v>
      </c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2248776.04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232630.28</v>
      </c>
      <c r="F43" s="95">
        <f>'01M'!F43+'13M'!F43+'02M'!F43+'03M'!F43+'04M'!F43+'05M'!F43+'06M'!F43+'07M'!F43+'08M'!F43+'09M'!F43+'10M'!F43+'11M'!F43+'12M'!F43</f>
        <v>26585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2507991.32</v>
      </c>
      <c r="K43" s="142">
        <f>'01M'!K43+'13M'!K43+'02M'!K43+'03M'!K43+'04M'!K43+'05M'!K43+'06M'!K43+'07M'!K43+'08M'!K43+'09M'!K43+'10M'!K43+'11M'!K43+'12M'!K43</f>
        <v>0</v>
      </c>
      <c r="L43" s="96">
        <v>3992776</v>
      </c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4207403.16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437459.12</v>
      </c>
      <c r="F44" s="95">
        <f>'01M'!F44+'13M'!F44+'02M'!F44+'03M'!F44+'04M'!F44+'05M'!F44+'06M'!F44+'07M'!F44+'08M'!F44+'09M'!F44+'10M'!F44+'11M'!F44+'12M'!F44</f>
        <v>54210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4699072.28</v>
      </c>
      <c r="K44" s="142">
        <f>'01M'!K44+'13M'!K44+'02M'!K44+'03M'!K44+'04M'!K44+'05M'!K44+'06M'!K44+'07M'!K44+'08M'!K44+'09M'!K44+'10M'!K44+'11M'!K44+'12M'!K44</f>
        <v>0</v>
      </c>
      <c r="L44" s="96">
        <v>6789876</v>
      </c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7068248.84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717643.88</v>
      </c>
      <c r="F45" s="95">
        <f>'01M'!F45+'13M'!F45+'02M'!F45+'03M'!F45+'04M'!F45+'05M'!F45+'06M'!F45+'07M'!F45+'08M'!F45+'09M'!F45+'10M'!F45+'11M'!F45+'12M'!F45</f>
        <v>125905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7911797.72</v>
      </c>
      <c r="K45" s="142">
        <f>'01M'!K45+'13M'!K45+'02M'!K45+'03M'!K45+'04M'!K45+'05M'!K45+'06M'!K45+'07M'!K45+'08M'!K45+'09M'!K45+'10M'!K45+'11M'!K45+'12M'!K45</f>
        <v>0</v>
      </c>
      <c r="L45" s="96">
        <v>19335375</v>
      </c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29418605.96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3018788.7199999997</v>
      </c>
      <c r="F46" s="95">
        <f>'01M'!F46+'13M'!F46+'02M'!F46+'03M'!F46+'04M'!F46+'05M'!F46+'06M'!F46+'07M'!F46+'08M'!F46+'09M'!F46+'10M'!F46+'11M'!F46+'12M'!F46</f>
        <v>872365</v>
      </c>
      <c r="G46" s="95">
        <f>'01M'!G46+'13M'!G46+'02M'!G46+'03M'!G46+'04M'!G46+'05M'!G46+'06M'!G46+'07M'!G46+'08M'!G46+'09M'!G46+'10M'!G46+'11M'!G46+'12M'!G46</f>
        <v>1182793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34492552.68</v>
      </c>
      <c r="K46" s="142">
        <f>'01M'!K46+'13M'!K46+'02M'!K46+'03M'!K46+'04M'!K46+'05M'!K46+'06M'!K46+'07M'!K46+'08M'!K46+'09M'!K46+'10M'!K46+'11M'!K46+'12M'!K46</f>
        <v>0</v>
      </c>
      <c r="L46" s="96">
        <v>45429222</v>
      </c>
      <c r="M46" s="97">
        <f t="shared" si="0"/>
        <v>0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44581186.120000005</v>
      </c>
      <c r="D47" s="141">
        <f t="shared" si="4"/>
        <v>0</v>
      </c>
      <c r="E47" s="141">
        <f t="shared" si="4"/>
        <v>4574639.84</v>
      </c>
      <c r="F47" s="141">
        <f t="shared" si="4"/>
        <v>1092715</v>
      </c>
      <c r="G47" s="141">
        <f t="shared" si="4"/>
        <v>1182793</v>
      </c>
      <c r="H47" s="141">
        <f t="shared" si="4"/>
        <v>0</v>
      </c>
      <c r="I47" s="141">
        <f t="shared" si="4"/>
        <v>0</v>
      </c>
      <c r="J47" s="141">
        <f t="shared" si="4"/>
        <v>51431333.95999999</v>
      </c>
      <c r="K47" s="143">
        <f>SUM(K40:K46)</f>
        <v>0</v>
      </c>
      <c r="L47" s="141">
        <f>SUM(L40:L46)</f>
        <v>77791332</v>
      </c>
      <c r="M47" s="97">
        <f t="shared" si="0"/>
        <v>0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50164503.63</v>
      </c>
      <c r="D48" s="141">
        <f t="shared" si="5"/>
        <v>0</v>
      </c>
      <c r="E48" s="141">
        <f t="shared" si="5"/>
        <v>5150851.41</v>
      </c>
      <c r="F48" s="141">
        <f t="shared" si="5"/>
        <v>1293152</v>
      </c>
      <c r="G48" s="141">
        <f t="shared" si="5"/>
        <v>1182793</v>
      </c>
      <c r="H48" s="141">
        <f t="shared" si="5"/>
        <v>0</v>
      </c>
      <c r="I48" s="141">
        <f t="shared" si="5"/>
        <v>0</v>
      </c>
      <c r="J48" s="141">
        <f t="shared" si="5"/>
        <v>57791300.03999999</v>
      </c>
      <c r="K48" s="143">
        <f>K32+K39+K47</f>
        <v>0</v>
      </c>
      <c r="L48" s="141">
        <f>L32+L39+L47</f>
        <v>87715080</v>
      </c>
      <c r="M48" s="97">
        <f t="shared" si="0"/>
        <v>0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1427860.81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147710.66999999998</v>
      </c>
      <c r="F49" s="95">
        <f>'01M'!F49+'13M'!F49+'02M'!F49+'03M'!F49+'04M'!F49+'05M'!F49+'06M'!F49+'07M'!F49+'08M'!F49+'09M'!F49+'10M'!F49+'11M'!F49+'12M'!F49</f>
        <v>48028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1623599.48</v>
      </c>
      <c r="K49" s="142">
        <f>'01M'!K49+'13M'!K49+'02M'!K49+'03M'!K49+'04M'!K49+'05M'!K49+'06M'!K49+'07M'!K49+'08M'!K49+'09M'!K49+'10M'!K49+'11M'!K49+'12M'!K49</f>
        <v>0</v>
      </c>
      <c r="L49" s="96">
        <v>2184920</v>
      </c>
      <c r="M49" s="97">
        <f t="shared" si="0"/>
        <v>0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51592364.440000005</v>
      </c>
      <c r="D50" s="141">
        <f t="shared" si="6"/>
        <v>0</v>
      </c>
      <c r="E50" s="141">
        <f t="shared" si="6"/>
        <v>5298562.08</v>
      </c>
      <c r="F50" s="141">
        <f t="shared" si="6"/>
        <v>1341180</v>
      </c>
      <c r="G50" s="141">
        <f t="shared" si="6"/>
        <v>1182793</v>
      </c>
      <c r="H50" s="141">
        <f t="shared" si="6"/>
        <v>0</v>
      </c>
      <c r="I50" s="141">
        <f t="shared" si="6"/>
        <v>0</v>
      </c>
      <c r="J50" s="141">
        <f t="shared" si="6"/>
        <v>59414899.51999999</v>
      </c>
      <c r="K50" s="143">
        <f>K48+K49</f>
        <v>0</v>
      </c>
      <c r="L50" s="141">
        <f>L48+L49</f>
        <v>89900000</v>
      </c>
      <c r="M50" s="97">
        <f t="shared" si="0"/>
        <v>0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5"/>
      <c r="M52" s="158"/>
      <c r="N52" s="159"/>
    </row>
    <row r="53" spans="1:14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58"/>
      <c r="N53" s="159"/>
    </row>
    <row r="54" spans="1:14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5"/>
      <c r="M55" s="158"/>
      <c r="N55" s="159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131"/>
      <c r="K56" s="59"/>
      <c r="L56" s="59"/>
      <c r="M56" s="158"/>
      <c r="N56" s="159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131"/>
      <c r="K57" s="59"/>
      <c r="L57" s="59"/>
      <c r="M57" s="158"/>
      <c r="N57" s="159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8"/>
      <c r="N58" s="159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8"/>
      <c r="K59" s="55"/>
      <c r="L59" s="55"/>
      <c r="M59" s="158"/>
      <c r="N59" s="159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31"/>
      <c r="K60" s="59"/>
      <c r="L60" s="59"/>
      <c r="M60" s="158"/>
      <c r="N60" s="159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31"/>
      <c r="K61" s="59"/>
      <c r="L61" s="59"/>
      <c r="M61" s="158"/>
      <c r="N61" s="159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64" t="s">
        <v>234</v>
      </c>
      <c r="C76" s="199"/>
      <c r="D76" s="199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89" t="s">
        <v>208</v>
      </c>
      <c r="I77" s="200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201" t="s">
        <v>48</v>
      </c>
      <c r="I78" s="201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I2:J2"/>
    <mergeCell ref="I3:J3"/>
    <mergeCell ref="B76:D76"/>
    <mergeCell ref="H77:I77"/>
    <mergeCell ref="H78:I78"/>
    <mergeCell ref="H5:N5"/>
    <mergeCell ref="A5:F5"/>
    <mergeCell ref="A52:L52"/>
    <mergeCell ref="A53:A54"/>
    <mergeCell ref="K53:L53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5"/>
  <sheetViews>
    <sheetView zoomScale="75" zoomScaleNormal="75" zoomScalePageLayoutView="0" workbookViewId="0" topLeftCell="A1">
      <selection activeCell="J66" sqref="J6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5.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 t="s">
        <v>212</v>
      </c>
      <c r="I2" s="179"/>
    </row>
    <row r="3" spans="1:9" ht="12.75">
      <c r="A3" s="3"/>
      <c r="G3" s="5" t="s">
        <v>77</v>
      </c>
      <c r="H3" s="178" t="s">
        <v>210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86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f>57658+13728+8237+5688</f>
        <v>85311</v>
      </c>
      <c r="D17" s="41"/>
      <c r="E17" s="41">
        <v>8237</v>
      </c>
      <c r="F17" s="41">
        <v>1950</v>
      </c>
      <c r="G17" s="41"/>
      <c r="H17" s="41"/>
      <c r="I17" s="41"/>
      <c r="J17" s="42">
        <f t="shared" si="0"/>
        <v>95498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27300+6500+3900+3142</f>
        <v>40842</v>
      </c>
      <c r="D23" s="41"/>
      <c r="E23" s="41">
        <f>3900+325</f>
        <v>4225</v>
      </c>
      <c r="F23" s="41">
        <v>1950</v>
      </c>
      <c r="G23" s="41"/>
      <c r="H23" s="41"/>
      <c r="I23" s="41"/>
      <c r="J23" s="42">
        <f t="shared" si="0"/>
        <v>47017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25826+6149+3689+19979+4757+2854+4918</f>
        <v>68172</v>
      </c>
      <c r="D24" s="41"/>
      <c r="E24" s="41">
        <f>2854+3689+509</f>
        <v>7052</v>
      </c>
      <c r="F24" s="41">
        <f>1950+1950</f>
        <v>3900</v>
      </c>
      <c r="G24" s="41"/>
      <c r="H24" s="41"/>
      <c r="I24" s="41"/>
      <c r="J24" s="42">
        <f t="shared" si="0"/>
        <v>79124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25032+5960+3576+25200+6000+3600+27311+6503+3902+37464+8920+5352+30113+7170+4302+29400+7000+4200+23394+5570+3342+21084</f>
        <v>294395</v>
      </c>
      <c r="D25" s="41"/>
      <c r="E25" s="41">
        <f>3576+3600+3902+5352+4302+4200+3342+2181</f>
        <v>30455</v>
      </c>
      <c r="F25" s="41">
        <f>1950+0+1950+1950+1853+1950+1950</f>
        <v>11603</v>
      </c>
      <c r="G25" s="41"/>
      <c r="H25" s="41"/>
      <c r="I25" s="41"/>
      <c r="J25" s="42">
        <f t="shared" si="0"/>
        <v>336453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36879+8781+5268+39249+9345+5607+8524</f>
        <v>113653</v>
      </c>
      <c r="D27" s="41"/>
      <c r="E27" s="41">
        <f>5607+5268+882</f>
        <v>11757</v>
      </c>
      <c r="F27" s="41">
        <f>1950+1950+1634</f>
        <v>5534</v>
      </c>
      <c r="G27" s="41"/>
      <c r="H27" s="41"/>
      <c r="I27" s="41"/>
      <c r="J27" s="42">
        <f t="shared" si="0"/>
        <v>130944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56175+13375+8025+5754</f>
        <v>83329</v>
      </c>
      <c r="D29" s="41"/>
      <c r="E29" s="41">
        <f>8025+595</f>
        <v>8620</v>
      </c>
      <c r="F29" s="41">
        <v>1950</v>
      </c>
      <c r="G29" s="41"/>
      <c r="H29" s="41"/>
      <c r="I29" s="41"/>
      <c r="J29" s="42">
        <f t="shared" si="0"/>
        <v>93899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685702</v>
      </c>
      <c r="D32" s="45">
        <f>SUM(D12:D31)</f>
        <v>0</v>
      </c>
      <c r="E32" s="45">
        <f t="shared" si="1"/>
        <v>70346</v>
      </c>
      <c r="F32" s="45">
        <f t="shared" si="1"/>
        <v>26887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782935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107574+25613+15368+12380+C59</f>
        <v>545043</v>
      </c>
      <c r="D42" s="41"/>
      <c r="E42" s="41">
        <f>15368+1281+E59</f>
        <v>56384</v>
      </c>
      <c r="F42" s="41">
        <v>1950</v>
      </c>
      <c r="G42" s="41"/>
      <c r="H42" s="41"/>
      <c r="I42" s="41"/>
      <c r="J42" s="42">
        <f t="shared" si="0"/>
        <v>603377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102203+24334+14600+93045+22154+13292+22024</f>
        <v>291652</v>
      </c>
      <c r="D43" s="41"/>
      <c r="E43" s="41">
        <f>14600+13292+2278</f>
        <v>30170</v>
      </c>
      <c r="F43" s="41">
        <f>1950+1950</f>
        <v>3900</v>
      </c>
      <c r="G43" s="41"/>
      <c r="H43" s="41"/>
      <c r="I43" s="41"/>
      <c r="J43" s="42">
        <f t="shared" si="0"/>
        <v>325722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93625+22292+13375+80603+19191+11515+80603+19191+11515+86090+20498+12299+37454</f>
        <v>508251</v>
      </c>
      <c r="D44" s="41"/>
      <c r="E44" s="41">
        <f>13375+11515+11515+12299+3875</f>
        <v>52579</v>
      </c>
      <c r="F44" s="41">
        <f>1950+1560+1950+1950</f>
        <v>7410</v>
      </c>
      <c r="G44" s="41"/>
      <c r="H44" s="41"/>
      <c r="I44" s="41"/>
      <c r="J44" s="42">
        <f t="shared" si="0"/>
        <v>568240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831480+197965+118778+62729</f>
        <v>1210952</v>
      </c>
      <c r="D45" s="41"/>
      <c r="E45" s="41">
        <f>118778+6489</f>
        <v>125267</v>
      </c>
      <c r="F45" s="41">
        <v>20605</v>
      </c>
      <c r="G45" s="41"/>
      <c r="H45" s="41"/>
      <c r="I45" s="41"/>
      <c r="J45" s="42">
        <f t="shared" si="0"/>
        <v>1356824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f>3166752+224718+28334+182491+25469+18926+39150+153677</f>
        <v>3839517</v>
      </c>
      <c r="D46" s="41"/>
      <c r="E46" s="41">
        <f>317844+23247+E55+E56+E57+E58+E60+E61</f>
        <v>387742</v>
      </c>
      <c r="F46" s="41">
        <v>121680</v>
      </c>
      <c r="G46" s="41">
        <v>173528</v>
      </c>
      <c r="H46" s="41"/>
      <c r="I46" s="41"/>
      <c r="J46" s="42">
        <f t="shared" si="0"/>
        <v>4522467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6395415</v>
      </c>
      <c r="D47" s="45">
        <f>SUM(D40:D46)</f>
        <v>0</v>
      </c>
      <c r="E47" s="45">
        <f t="shared" si="3"/>
        <v>652142</v>
      </c>
      <c r="F47" s="45">
        <f t="shared" si="3"/>
        <v>155545</v>
      </c>
      <c r="G47" s="45">
        <f t="shared" si="3"/>
        <v>173528</v>
      </c>
      <c r="H47" s="45">
        <f t="shared" si="3"/>
        <v>0</v>
      </c>
      <c r="I47" s="45">
        <f t="shared" si="3"/>
        <v>0</v>
      </c>
      <c r="J47" s="42">
        <f t="shared" si="0"/>
        <v>7376630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7081117</v>
      </c>
      <c r="D48" s="45">
        <f>D32+D39+D47</f>
        <v>0</v>
      </c>
      <c r="E48" s="45">
        <f t="shared" si="4"/>
        <v>722488</v>
      </c>
      <c r="F48" s="45">
        <f t="shared" si="4"/>
        <v>182432</v>
      </c>
      <c r="G48" s="45">
        <f t="shared" si="4"/>
        <v>173528</v>
      </c>
      <c r="H48" s="45">
        <f t="shared" si="4"/>
        <v>0</v>
      </c>
      <c r="I48" s="45">
        <f t="shared" si="4"/>
        <v>0</v>
      </c>
      <c r="J48" s="42">
        <f t="shared" si="0"/>
        <v>8159565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f>23545+5606+3364+14700+3500+2100+13650+3250+1950+23877+5685+3411+21630+5150+3090+33002+7858+4715+9649</f>
        <v>189732</v>
      </c>
      <c r="D49" s="49"/>
      <c r="E49" s="49">
        <f>3364+2100+1950+3411+3090+4715+998</f>
        <v>19628</v>
      </c>
      <c r="F49" s="49">
        <f>1849+975+975+1345+1853</f>
        <v>6997</v>
      </c>
      <c r="G49" s="49"/>
      <c r="H49" s="49"/>
      <c r="I49" s="49"/>
      <c r="J49" s="42">
        <f t="shared" si="0"/>
        <v>216357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7270849</v>
      </c>
      <c r="D50" s="45">
        <f>D48+D49</f>
        <v>0</v>
      </c>
      <c r="E50" s="45">
        <f t="shared" si="5"/>
        <v>742116</v>
      </c>
      <c r="F50" s="45">
        <f t="shared" si="5"/>
        <v>189429</v>
      </c>
      <c r="G50" s="45">
        <f t="shared" si="5"/>
        <v>173528</v>
      </c>
      <c r="H50" s="45">
        <f t="shared" si="5"/>
        <v>0</v>
      </c>
      <c r="I50" s="45">
        <f t="shared" si="5"/>
        <v>0</v>
      </c>
      <c r="J50" s="42">
        <f t="shared" si="0"/>
        <v>8375922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f>22624+5387+323</f>
        <v>28334</v>
      </c>
      <c r="D55" s="55"/>
      <c r="E55" s="55">
        <v>3232</v>
      </c>
      <c r="F55" s="55"/>
      <c r="G55" s="55"/>
      <c r="H55" s="55"/>
      <c r="I55" s="55"/>
      <c r="J55" s="128">
        <f>D55+E55+F55+G55+H55+I55+C55</f>
        <v>31566</v>
      </c>
      <c r="K55" s="55">
        <v>10</v>
      </c>
      <c r="L55" s="56">
        <v>19</v>
      </c>
      <c r="M55" s="160" t="s">
        <v>226</v>
      </c>
      <c r="N55" s="112"/>
      <c r="O55" s="114"/>
      <c r="P55" s="130"/>
    </row>
    <row r="56" spans="1:16" s="46" customFormat="1" ht="12.75">
      <c r="A56" s="26" t="s">
        <v>63</v>
      </c>
      <c r="B56" s="55">
        <v>120</v>
      </c>
      <c r="C56" s="55">
        <v>182491</v>
      </c>
      <c r="D56" s="55"/>
      <c r="E56" s="55">
        <v>18878</v>
      </c>
      <c r="F56" s="55"/>
      <c r="G56" s="55"/>
      <c r="H56" s="55"/>
      <c r="I56" s="55"/>
      <c r="J56" s="128">
        <f aca="true" t="shared" si="6" ref="J56:J61">D56+E56+F56+G56+H56+I56+C56</f>
        <v>201369</v>
      </c>
      <c r="K56" s="55"/>
      <c r="L56" s="56"/>
      <c r="M56" s="57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f>18443+4391+2635</f>
        <v>25469</v>
      </c>
      <c r="D57" s="59"/>
      <c r="E57" s="59">
        <v>2635</v>
      </c>
      <c r="F57" s="59"/>
      <c r="G57" s="59"/>
      <c r="H57" s="59"/>
      <c r="I57" s="59"/>
      <c r="J57" s="128">
        <f t="shared" si="6"/>
        <v>28104</v>
      </c>
      <c r="K57" s="59">
        <v>10</v>
      </c>
      <c r="L57" s="60">
        <v>19</v>
      </c>
      <c r="M57" s="129"/>
      <c r="N57" s="112"/>
      <c r="O57" s="114"/>
      <c r="P57" s="130"/>
    </row>
    <row r="58" spans="1:16" s="46" customFormat="1" ht="12.75">
      <c r="A58" s="58" t="s">
        <v>63</v>
      </c>
      <c r="B58" s="59">
        <f>IF(A58="","",VLOOKUP(A58,$A$12:$B$50,2,FALSE))</f>
        <v>120</v>
      </c>
      <c r="C58" s="59">
        <f>13705+3263+1958</f>
        <v>18926</v>
      </c>
      <c r="D58" s="59"/>
      <c r="E58" s="59">
        <v>1958</v>
      </c>
      <c r="F58" s="59"/>
      <c r="G58" s="59"/>
      <c r="H58" s="59"/>
      <c r="I58" s="59"/>
      <c r="J58" s="128">
        <f t="shared" si="6"/>
        <v>20884</v>
      </c>
      <c r="K58" s="59">
        <v>10</v>
      </c>
      <c r="L58" s="60">
        <v>19</v>
      </c>
      <c r="M58" s="129"/>
      <c r="N58" s="112"/>
      <c r="O58" s="114"/>
      <c r="P58" s="130"/>
    </row>
    <row r="59" spans="1:16" s="46" customFormat="1" ht="12.75">
      <c r="A59" s="58" t="s">
        <v>59</v>
      </c>
      <c r="B59" s="59"/>
      <c r="C59" s="59">
        <f>87000+297108</f>
        <v>384108</v>
      </c>
      <c r="D59" s="59"/>
      <c r="E59" s="59">
        <f>9000+30735</f>
        <v>39735</v>
      </c>
      <c r="F59" s="59"/>
      <c r="G59" s="59"/>
      <c r="H59" s="59"/>
      <c r="I59" s="59"/>
      <c r="J59" s="128">
        <f t="shared" si="6"/>
        <v>423843</v>
      </c>
      <c r="K59" s="59"/>
      <c r="L59" s="60"/>
      <c r="M59" s="160" t="s">
        <v>227</v>
      </c>
      <c r="N59" s="161"/>
      <c r="O59" s="114"/>
      <c r="P59" s="130"/>
    </row>
    <row r="60" spans="1:16" ht="12.75">
      <c r="A60" s="58" t="s">
        <v>63</v>
      </c>
      <c r="B60" s="59">
        <f>IF(A60="","",VLOOKUP(A60,$A$12:$B$50,2,FALSE))</f>
        <v>120</v>
      </c>
      <c r="C60" s="59">
        <f>28350+6750+4050</f>
        <v>39150</v>
      </c>
      <c r="D60" s="59"/>
      <c r="E60" s="59">
        <v>4050</v>
      </c>
      <c r="F60" s="59"/>
      <c r="G60" s="59"/>
      <c r="H60" s="59"/>
      <c r="I60" s="59"/>
      <c r="J60" s="128">
        <f t="shared" si="6"/>
        <v>43200</v>
      </c>
      <c r="K60" s="59"/>
      <c r="L60" s="60"/>
      <c r="M60" s="160" t="s">
        <v>219</v>
      </c>
      <c r="N60" s="161"/>
      <c r="O60" s="132"/>
      <c r="P60" s="43"/>
    </row>
    <row r="61" spans="1:16" ht="12.75">
      <c r="A61" s="58" t="s">
        <v>63</v>
      </c>
      <c r="B61" s="59">
        <f>IF(A61="","",VLOOKUP(A61,$A$12:$B$50,2,FALSE))</f>
        <v>120</v>
      </c>
      <c r="C61" s="59">
        <v>153677</v>
      </c>
      <c r="D61" s="59"/>
      <c r="E61" s="59">
        <v>15898</v>
      </c>
      <c r="F61" s="59"/>
      <c r="G61" s="59"/>
      <c r="H61" s="59"/>
      <c r="I61" s="59"/>
      <c r="J61" s="128">
        <f t="shared" si="6"/>
        <v>169575</v>
      </c>
      <c r="K61" s="59"/>
      <c r="L61" s="60"/>
      <c r="M61" s="160" t="s">
        <v>220</v>
      </c>
      <c r="N61" s="161"/>
      <c r="O61" s="132"/>
      <c r="P61" s="43"/>
    </row>
    <row r="63" spans="1:6" ht="12.75">
      <c r="A63" s="61" t="s">
        <v>21</v>
      </c>
      <c r="B63" s="164" t="s">
        <v>213</v>
      </c>
      <c r="C63" s="164"/>
      <c r="D63" s="164"/>
      <c r="E63" s="164"/>
      <c r="F63" s="62"/>
    </row>
    <row r="64" spans="8:9" ht="12.75">
      <c r="H64" s="189" t="s">
        <v>208</v>
      </c>
      <c r="I64" s="189"/>
    </row>
    <row r="65" spans="8:9" ht="12.75">
      <c r="H65" s="188" t="s">
        <v>48</v>
      </c>
      <c r="I65" s="188"/>
    </row>
  </sheetData>
  <sheetProtection/>
  <mergeCells count="10">
    <mergeCell ref="K53:L53"/>
    <mergeCell ref="A52:L52"/>
    <mergeCell ref="H65:I65"/>
    <mergeCell ref="A5:E5"/>
    <mergeCell ref="G5:J5"/>
    <mergeCell ref="A53:A54"/>
    <mergeCell ref="H2:I2"/>
    <mergeCell ref="H3:I3"/>
    <mergeCell ref="B63:E63"/>
    <mergeCell ref="H64:I64"/>
  </mergeCells>
  <dataValidations count="1">
    <dataValidation type="list" allowBlank="1" showInputMessage="1" showErrorMessage="1" sqref="A55:A61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46" sqref="C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209</v>
      </c>
      <c r="L2" s="179"/>
    </row>
    <row r="3" spans="1:12" ht="12.75">
      <c r="A3" s="3"/>
      <c r="H3" s="4"/>
      <c r="I3" s="4"/>
      <c r="J3" s="5" t="s">
        <v>77</v>
      </c>
      <c r="K3" s="178" t="s">
        <v>210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87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117682</v>
      </c>
      <c r="D17" s="41"/>
      <c r="E17" s="41"/>
      <c r="F17" s="41"/>
      <c r="G17" s="41"/>
      <c r="H17" s="41"/>
      <c r="I17" s="41"/>
      <c r="J17" s="41"/>
      <c r="K17" s="42">
        <f t="shared" si="0"/>
        <v>117682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>
        <v>1</v>
      </c>
      <c r="N18" s="41">
        <v>1</v>
      </c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43572</v>
      </c>
      <c r="D23" s="41"/>
      <c r="E23" s="41"/>
      <c r="F23" s="41"/>
      <c r="G23" s="41"/>
      <c r="H23" s="41"/>
      <c r="I23" s="41"/>
      <c r="J23" s="41"/>
      <c r="K23" s="42">
        <f t="shared" si="0"/>
        <v>43572</v>
      </c>
      <c r="L23" s="41"/>
      <c r="M23" s="41">
        <v>1</v>
      </c>
      <c r="N23" s="41"/>
    </row>
    <row r="24" spans="1:14" ht="12.75">
      <c r="A24" s="39" t="s">
        <v>32</v>
      </c>
      <c r="B24" s="40">
        <v>83</v>
      </c>
      <c r="C24" s="41">
        <f>55252+46500</f>
        <v>101752</v>
      </c>
      <c r="D24" s="41"/>
      <c r="E24" s="41"/>
      <c r="F24" s="41"/>
      <c r="G24" s="41"/>
      <c r="H24" s="41"/>
      <c r="I24" s="41"/>
      <c r="J24" s="41"/>
      <c r="K24" s="42">
        <f t="shared" si="0"/>
        <v>101752</v>
      </c>
      <c r="L24" s="41"/>
      <c r="M24" s="41">
        <v>2</v>
      </c>
      <c r="N24" s="41"/>
    </row>
    <row r="25" spans="1:14" ht="12.75">
      <c r="A25" s="39" t="s">
        <v>33</v>
      </c>
      <c r="B25" s="40">
        <v>84</v>
      </c>
      <c r="C25" s="41">
        <f>65022+52252+43198+69998+36986+65022+51429</f>
        <v>383907</v>
      </c>
      <c r="D25" s="41"/>
      <c r="E25" s="41"/>
      <c r="F25" s="41"/>
      <c r="G25" s="41"/>
      <c r="H25" s="41"/>
      <c r="I25" s="41"/>
      <c r="J25" s="41"/>
      <c r="K25" s="42">
        <f t="shared" si="0"/>
        <v>383907</v>
      </c>
      <c r="L25" s="41"/>
      <c r="M25" s="41">
        <v>7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f>87806+88552</f>
        <v>176358</v>
      </c>
      <c r="D27" s="41"/>
      <c r="E27" s="41"/>
      <c r="F27" s="41"/>
      <c r="G27" s="41"/>
      <c r="H27" s="41"/>
      <c r="I27" s="41"/>
      <c r="J27" s="41"/>
      <c r="K27" s="42">
        <f t="shared" si="0"/>
        <v>176358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119048</v>
      </c>
      <c r="D29" s="41"/>
      <c r="E29" s="41"/>
      <c r="F29" s="41"/>
      <c r="G29" s="41"/>
      <c r="H29" s="41"/>
      <c r="I29" s="41"/>
      <c r="J29" s="41"/>
      <c r="K29" s="42">
        <f t="shared" si="0"/>
        <v>119048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942319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942319</v>
      </c>
      <c r="L32" s="45">
        <f>SUM(L12:L31)</f>
        <v>0</v>
      </c>
      <c r="M32" s="45">
        <f>SUM(M12:M31)</f>
        <v>14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256128</v>
      </c>
      <c r="D42" s="41"/>
      <c r="E42" s="41"/>
      <c r="F42" s="41"/>
      <c r="G42" s="41"/>
      <c r="H42" s="41"/>
      <c r="I42" s="41"/>
      <c r="J42" s="41"/>
      <c r="K42" s="42">
        <f t="shared" si="0"/>
        <v>256128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f>234142+221534</f>
        <v>455676</v>
      </c>
      <c r="D43" s="41"/>
      <c r="E43" s="41"/>
      <c r="F43" s="41"/>
      <c r="G43" s="41"/>
      <c r="H43" s="41"/>
      <c r="I43" s="41"/>
      <c r="J43" s="41"/>
      <c r="K43" s="42">
        <f t="shared" si="0"/>
        <v>455676</v>
      </c>
      <c r="L43" s="41"/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f>191914+195314+191914+195962</f>
        <v>775104</v>
      </c>
      <c r="D44" s="41"/>
      <c r="E44" s="41"/>
      <c r="F44" s="41"/>
      <c r="G44" s="41"/>
      <c r="H44" s="41"/>
      <c r="I44" s="41"/>
      <c r="J44" s="41"/>
      <c r="K44" s="42">
        <f t="shared" si="0"/>
        <v>775104</v>
      </c>
      <c r="L44" s="41"/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f>137630+50062+168484+128064+117300+145911+151430+100460+183155</f>
        <v>1182496</v>
      </c>
      <c r="D45" s="41"/>
      <c r="E45" s="41"/>
      <c r="F45" s="41"/>
      <c r="G45" s="41"/>
      <c r="H45" s="41"/>
      <c r="I45" s="41"/>
      <c r="J45" s="41"/>
      <c r="K45" s="42">
        <f t="shared" si="0"/>
        <v>1182496</v>
      </c>
      <c r="L45" s="41"/>
      <c r="M45" s="41">
        <v>9</v>
      </c>
      <c r="N45" s="41">
        <v>16</v>
      </c>
    </row>
    <row r="46" spans="1:14" ht="12.75">
      <c r="A46" s="48" t="s">
        <v>63</v>
      </c>
      <c r="B46" s="40">
        <v>120</v>
      </c>
      <c r="C46" s="41">
        <f>4413700+130824</f>
        <v>4544524</v>
      </c>
      <c r="D46" s="41"/>
      <c r="E46" s="41"/>
      <c r="F46" s="41"/>
      <c r="G46" s="41"/>
      <c r="H46" s="41"/>
      <c r="I46" s="41"/>
      <c r="J46" s="41"/>
      <c r="K46" s="42">
        <f t="shared" si="0"/>
        <v>4544524</v>
      </c>
      <c r="L46" s="41"/>
      <c r="M46" s="41">
        <v>65</v>
      </c>
      <c r="N46" s="41">
        <v>73</v>
      </c>
    </row>
    <row r="47" spans="1:14" ht="12.75">
      <c r="A47" s="44" t="s">
        <v>74</v>
      </c>
      <c r="B47" s="45">
        <v>121</v>
      </c>
      <c r="C47" s="45">
        <f>SUM(C40:C46)</f>
        <v>7213928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7213928</v>
      </c>
      <c r="L47" s="45">
        <f>SUM(L40:L46)</f>
        <v>0</v>
      </c>
      <c r="M47" s="45">
        <f>SUM(M40:M46)</f>
        <v>81</v>
      </c>
      <c r="N47" s="45">
        <f>SUM(N40:N46)</f>
        <v>96</v>
      </c>
    </row>
    <row r="48" spans="1:14" ht="12.75">
      <c r="A48" s="44" t="s">
        <v>119</v>
      </c>
      <c r="B48" s="45">
        <v>152</v>
      </c>
      <c r="C48" s="45">
        <f>C32+C39+C47</f>
        <v>8156247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8156247</v>
      </c>
      <c r="L48" s="45">
        <f>L32+L39+L47</f>
        <v>0</v>
      </c>
      <c r="M48" s="45">
        <f>M32+M39+M47</f>
        <v>95</v>
      </c>
      <c r="N48" s="45">
        <f>N32+N39+N47</f>
        <v>103</v>
      </c>
    </row>
    <row r="49" spans="1:14" ht="12.75">
      <c r="A49" s="44" t="s">
        <v>51</v>
      </c>
      <c r="B49" s="45">
        <v>158</v>
      </c>
      <c r="C49" s="49">
        <f>31251+46852+25412+68772+51502</f>
        <v>223789</v>
      </c>
      <c r="D49" s="49"/>
      <c r="E49" s="49"/>
      <c r="F49" s="49"/>
      <c r="G49" s="49"/>
      <c r="H49" s="49"/>
      <c r="I49" s="49"/>
      <c r="J49" s="49"/>
      <c r="K49" s="42">
        <f t="shared" si="0"/>
        <v>223789</v>
      </c>
      <c r="L49" s="49"/>
      <c r="M49" s="49">
        <v>4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8380036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8380036</v>
      </c>
      <c r="L50" s="45">
        <f>L48+L49</f>
        <v>0</v>
      </c>
      <c r="M50" s="45">
        <f>M48+M49</f>
        <v>99</v>
      </c>
      <c r="N50" s="45">
        <f>N48+N49</f>
        <v>107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 t="s">
        <v>214</v>
      </c>
      <c r="C60" s="164"/>
      <c r="D60" s="164"/>
      <c r="E60" s="62"/>
    </row>
    <row r="61" spans="10:11" ht="12.75">
      <c r="J61" s="189" t="s">
        <v>208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E50" sqref="E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6.1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 t="s">
        <v>212</v>
      </c>
      <c r="I2" s="179"/>
    </row>
    <row r="3" spans="1:9" ht="12.75">
      <c r="A3" s="3"/>
      <c r="G3" s="5" t="s">
        <v>77</v>
      </c>
      <c r="H3" s="178" t="s">
        <v>210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164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f>117682*0.29</f>
        <v>34127.78</v>
      </c>
      <c r="D17" s="41"/>
      <c r="E17" s="41">
        <f>117682*0.03</f>
        <v>3530.46</v>
      </c>
      <c r="F17" s="41"/>
      <c r="G17" s="41"/>
      <c r="H17" s="41"/>
      <c r="I17" s="41"/>
      <c r="J17" s="42">
        <f t="shared" si="0"/>
        <v>37658.24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43572*0.29</f>
        <v>12635.88</v>
      </c>
      <c r="D23" s="41"/>
      <c r="E23" s="41">
        <f>43572*0.03</f>
        <v>1307.1599999999999</v>
      </c>
      <c r="F23" s="41"/>
      <c r="G23" s="41"/>
      <c r="H23" s="41"/>
      <c r="I23" s="41"/>
      <c r="J23" s="42">
        <f t="shared" si="0"/>
        <v>13943.039999999999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(55252+46500)*0.29</f>
        <v>29508.079999999998</v>
      </c>
      <c r="D24" s="41"/>
      <c r="E24" s="41">
        <f>(55252+46500)*0.03</f>
        <v>3052.56</v>
      </c>
      <c r="F24" s="41"/>
      <c r="G24" s="41"/>
      <c r="H24" s="41"/>
      <c r="I24" s="41"/>
      <c r="J24" s="42">
        <f t="shared" si="0"/>
        <v>32560.64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(65022+52252+43198+69998+36986+65022+51429)*0.29</f>
        <v>111333.03</v>
      </c>
      <c r="D25" s="41"/>
      <c r="E25" s="41">
        <f>(65022+52252+43198+69998+36986+65022+51429)*0.03</f>
        <v>11517.21</v>
      </c>
      <c r="F25" s="41"/>
      <c r="G25" s="41"/>
      <c r="H25" s="41"/>
      <c r="I25" s="41"/>
      <c r="J25" s="42">
        <f t="shared" si="0"/>
        <v>122850.23999999999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(87806+88552)*0.29</f>
        <v>51143.82</v>
      </c>
      <c r="D27" s="41"/>
      <c r="E27" s="41">
        <f>(87806+88552)*0.03</f>
        <v>5290.74</v>
      </c>
      <c r="F27" s="41"/>
      <c r="G27" s="41"/>
      <c r="H27" s="41"/>
      <c r="I27" s="41"/>
      <c r="J27" s="42">
        <f t="shared" si="0"/>
        <v>56434.56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119048*0.29</f>
        <v>34523.92</v>
      </c>
      <c r="D29" s="41"/>
      <c r="E29" s="41">
        <f>119048*0.03</f>
        <v>3571.44</v>
      </c>
      <c r="F29" s="41"/>
      <c r="G29" s="41"/>
      <c r="H29" s="41"/>
      <c r="I29" s="41"/>
      <c r="J29" s="42">
        <f t="shared" si="0"/>
        <v>38095.36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273272.51</v>
      </c>
      <c r="D32" s="45">
        <f>SUM(D12:D31)</f>
        <v>0</v>
      </c>
      <c r="E32" s="45">
        <f t="shared" si="1"/>
        <v>28269.569999999996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301542.08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256128*0.29</f>
        <v>74277.12</v>
      </c>
      <c r="D42" s="41"/>
      <c r="E42" s="41">
        <f>256128*0.03</f>
        <v>7683.84</v>
      </c>
      <c r="F42" s="41"/>
      <c r="G42" s="41"/>
      <c r="H42" s="41"/>
      <c r="I42" s="41"/>
      <c r="J42" s="42">
        <f t="shared" si="0"/>
        <v>81960.95999999999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(234142+221534)*0.29</f>
        <v>132146.03999999998</v>
      </c>
      <c r="D43" s="41"/>
      <c r="E43" s="41">
        <f>(234142+221534)*0.03</f>
        <v>13670.279999999999</v>
      </c>
      <c r="F43" s="41"/>
      <c r="G43" s="41"/>
      <c r="H43" s="41"/>
      <c r="I43" s="41"/>
      <c r="J43" s="42">
        <f t="shared" si="0"/>
        <v>145816.31999999998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(191914+195314+191914+195962)*0.29</f>
        <v>224780.15999999997</v>
      </c>
      <c r="D44" s="41"/>
      <c r="E44" s="41">
        <f>(191914+195314+191914+195962)*0.03</f>
        <v>23253.12</v>
      </c>
      <c r="F44" s="41"/>
      <c r="G44" s="41"/>
      <c r="H44" s="41"/>
      <c r="I44" s="41"/>
      <c r="J44" s="42">
        <f t="shared" si="0"/>
        <v>248033.27999999997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(137630+50062+168484+128064+117300+145911+151430+100460+183155)*0.29</f>
        <v>342923.83999999997</v>
      </c>
      <c r="D45" s="41"/>
      <c r="E45" s="41">
        <f>(137630+50062+168484+128064+117300+145911+151430+100460+183155)*0.03</f>
        <v>35474.88</v>
      </c>
      <c r="F45" s="41"/>
      <c r="G45" s="41"/>
      <c r="H45" s="41"/>
      <c r="I45" s="41"/>
      <c r="J45" s="42">
        <f t="shared" si="0"/>
        <v>378398.72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f>(4413700+130824)*0.29</f>
        <v>1317911.96</v>
      </c>
      <c r="D46" s="41"/>
      <c r="E46" s="41">
        <f>(4413700+130824)*0.03</f>
        <v>136335.72</v>
      </c>
      <c r="F46" s="41"/>
      <c r="G46" s="41"/>
      <c r="H46" s="41"/>
      <c r="I46" s="41"/>
      <c r="J46" s="42">
        <f t="shared" si="0"/>
        <v>1454247.68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2092039.1199999999</v>
      </c>
      <c r="D47" s="45">
        <f>SUM(D40:D46)</f>
        <v>0</v>
      </c>
      <c r="E47" s="45">
        <f t="shared" si="3"/>
        <v>216417.84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2308456.96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2365311.63</v>
      </c>
      <c r="D48" s="45">
        <f>D32+D39+D47</f>
        <v>0</v>
      </c>
      <c r="E48" s="45">
        <f t="shared" si="4"/>
        <v>244687.41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2609999.04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f>223789*0.29</f>
        <v>64898.81</v>
      </c>
      <c r="D49" s="49"/>
      <c r="E49" s="49">
        <f>223789*0.03</f>
        <v>6713.67</v>
      </c>
      <c r="F49" s="49"/>
      <c r="G49" s="49"/>
      <c r="H49" s="49"/>
      <c r="I49" s="49"/>
      <c r="J49" s="42">
        <f t="shared" si="0"/>
        <v>71612.48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2430210.44</v>
      </c>
      <c r="D50" s="45">
        <f>D48+D49</f>
        <v>0</v>
      </c>
      <c r="E50" s="45">
        <f t="shared" si="5"/>
        <v>251401.08000000002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2681611.52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 t="s">
        <v>215</v>
      </c>
      <c r="C60" s="164"/>
      <c r="D60" s="164"/>
      <c r="E60" s="164"/>
      <c r="F60" s="62"/>
    </row>
    <row r="61" spans="8:9" ht="12.75">
      <c r="H61" s="189" t="s">
        <v>208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0">
      <selection activeCell="C46" sqref="C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212</v>
      </c>
      <c r="L2" s="179"/>
    </row>
    <row r="3" spans="1:12" ht="12.75">
      <c r="A3" s="3"/>
      <c r="H3" s="4"/>
      <c r="I3" s="4"/>
      <c r="J3" s="5" t="s">
        <v>77</v>
      </c>
      <c r="K3" s="178" t="s">
        <v>210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88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257460</v>
      </c>
      <c r="D17" s="41"/>
      <c r="E17" s="41"/>
      <c r="F17" s="41"/>
      <c r="G17" s="41">
        <v>40000</v>
      </c>
      <c r="H17" s="41"/>
      <c r="I17" s="41"/>
      <c r="J17" s="41">
        <v>21455</v>
      </c>
      <c r="K17" s="42">
        <f t="shared" si="0"/>
        <v>318915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137000</v>
      </c>
      <c r="D23" s="41"/>
      <c r="E23" s="41"/>
      <c r="F23" s="41"/>
      <c r="G23" s="41"/>
      <c r="H23" s="41"/>
      <c r="I23" s="41"/>
      <c r="J23" s="41">
        <v>11417</v>
      </c>
      <c r="K23" s="42">
        <f t="shared" si="0"/>
        <v>148417</v>
      </c>
      <c r="L23" s="41"/>
      <c r="M23" s="41">
        <v>1</v>
      </c>
      <c r="N23" s="41"/>
    </row>
    <row r="24" spans="1:14" ht="12.75">
      <c r="A24" s="39" t="s">
        <v>32</v>
      </c>
      <c r="B24" s="40">
        <v>83</v>
      </c>
      <c r="C24" s="41">
        <f>115900+97800</f>
        <v>213700</v>
      </c>
      <c r="D24" s="41"/>
      <c r="E24" s="41"/>
      <c r="F24" s="41"/>
      <c r="G24" s="41"/>
      <c r="H24" s="41"/>
      <c r="I24" s="41"/>
      <c r="J24" s="41">
        <f>9658+8150</f>
        <v>17808</v>
      </c>
      <c r="K24" s="42">
        <f t="shared" si="0"/>
        <v>231508</v>
      </c>
      <c r="L24" s="41">
        <f>4445+5345</f>
        <v>9790</v>
      </c>
      <c r="M24" s="41">
        <v>2</v>
      </c>
      <c r="N24" s="41"/>
    </row>
    <row r="25" spans="1:14" ht="12.75">
      <c r="A25" s="39" t="s">
        <v>33</v>
      </c>
      <c r="B25" s="40">
        <v>84</v>
      </c>
      <c r="C25" s="41">
        <f>135300+109300+174800+144300+137700+126100+118900+213414</f>
        <v>1159814</v>
      </c>
      <c r="D25" s="41"/>
      <c r="E25" s="41"/>
      <c r="F25" s="41"/>
      <c r="G25" s="41">
        <v>15000</v>
      </c>
      <c r="H25" s="41"/>
      <c r="I25" s="41"/>
      <c r="J25" s="41">
        <f>11275+9108+14567+11667+11475+10508+9908</f>
        <v>78508</v>
      </c>
      <c r="K25" s="42">
        <f t="shared" si="0"/>
        <v>1253322</v>
      </c>
      <c r="L25" s="41"/>
      <c r="M25" s="41">
        <v>8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f>179216+185900</f>
        <v>365116</v>
      </c>
      <c r="D27" s="41"/>
      <c r="E27" s="41"/>
      <c r="F27" s="41"/>
      <c r="G27" s="41">
        <v>10000</v>
      </c>
      <c r="H27" s="41"/>
      <c r="I27" s="41"/>
      <c r="J27" s="41">
        <f>15492+14635</f>
        <v>30127</v>
      </c>
      <c r="K27" s="42">
        <f t="shared" si="0"/>
        <v>405243</v>
      </c>
      <c r="L27" s="41"/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251400</v>
      </c>
      <c r="D29" s="41"/>
      <c r="E29" s="41"/>
      <c r="F29" s="41"/>
      <c r="G29" s="41">
        <v>30000</v>
      </c>
      <c r="H29" s="41"/>
      <c r="I29" s="41"/>
      <c r="J29" s="41">
        <v>19842</v>
      </c>
      <c r="K29" s="42">
        <f t="shared" si="0"/>
        <v>301242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2384490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0</v>
      </c>
      <c r="I32" s="45">
        <f t="shared" si="1"/>
        <v>0</v>
      </c>
      <c r="J32" s="45">
        <f t="shared" si="1"/>
        <v>179157</v>
      </c>
      <c r="K32" s="42">
        <f t="shared" si="0"/>
        <v>2658647</v>
      </c>
      <c r="L32" s="45">
        <f>SUM(L12:L31)</f>
        <v>9790</v>
      </c>
      <c r="M32" s="45">
        <f>SUM(M12:M31)</f>
        <v>15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3865</v>
      </c>
      <c r="G42" s="41">
        <f>92760+6957</f>
        <v>99717</v>
      </c>
      <c r="H42" s="41"/>
      <c r="I42" s="41"/>
      <c r="J42" s="41">
        <v>44834</v>
      </c>
      <c r="K42" s="42">
        <f t="shared" si="0"/>
        <v>582842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579750</v>
      </c>
      <c r="D43" s="41">
        <v>55657</v>
      </c>
      <c r="E43" s="41">
        <v>173926</v>
      </c>
      <c r="F43" s="41">
        <v>27055</v>
      </c>
      <c r="G43" s="41">
        <f>57975+57975+4831</f>
        <v>120781</v>
      </c>
      <c r="H43" s="41"/>
      <c r="I43" s="41"/>
      <c r="J43" s="41">
        <v>79764</v>
      </c>
      <c r="K43" s="42">
        <f t="shared" si="0"/>
        <v>1036933</v>
      </c>
      <c r="L43" s="41">
        <v>18400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f>24350+26669+24350+26669</f>
        <v>102038</v>
      </c>
      <c r="E44" s="41">
        <v>324660</v>
      </c>
      <c r="F44" s="41"/>
      <c r="G44" s="41">
        <f>10629+27055+27055+27055+27055</f>
        <v>118849</v>
      </c>
      <c r="H44" s="41"/>
      <c r="I44" s="41"/>
      <c r="J44" s="41">
        <f>33593+34270+33593+34189</f>
        <v>135645</v>
      </c>
      <c r="K44" s="42">
        <f t="shared" si="0"/>
        <v>1763392</v>
      </c>
      <c r="L44" s="41">
        <v>73600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1820416</v>
      </c>
      <c r="D45" s="41">
        <v>214612</v>
      </c>
      <c r="E45" s="41">
        <v>546128</v>
      </c>
      <c r="F45" s="41">
        <v>135275</v>
      </c>
      <c r="G45" s="41">
        <f>4831+11762+2300+6992+32866+5798+5060+13800</f>
        <v>83409</v>
      </c>
      <c r="H45" s="41"/>
      <c r="I45" s="41"/>
      <c r="J45" s="41">
        <v>227183</v>
      </c>
      <c r="K45" s="42">
        <f t="shared" si="0"/>
        <v>3027023</v>
      </c>
      <c r="L45" s="41">
        <f>160734+46000+L56</f>
        <v>675382</v>
      </c>
      <c r="M45" s="41">
        <v>9</v>
      </c>
      <c r="N45" s="41">
        <v>16</v>
      </c>
    </row>
    <row r="46" spans="1:14" ht="12.75">
      <c r="A46" s="48" t="s">
        <v>63</v>
      </c>
      <c r="B46" s="40">
        <v>120</v>
      </c>
      <c r="C46" s="41">
        <f>7983159+C55</f>
        <v>8016768</v>
      </c>
      <c r="D46" s="41">
        <f>1068684+D55</f>
        <v>1074196</v>
      </c>
      <c r="E46" s="41">
        <f>1293137+E55</f>
        <v>1298178</v>
      </c>
      <c r="F46" s="41">
        <v>73435</v>
      </c>
      <c r="G46" s="41">
        <f>67830+38650+334832+607360+107180+400752+G55</f>
        <v>1561981</v>
      </c>
      <c r="H46" s="41"/>
      <c r="I46" s="41"/>
      <c r="J46" s="41">
        <f>833325+21421</f>
        <v>854746</v>
      </c>
      <c r="K46" s="42">
        <f t="shared" si="0"/>
        <v>12879304</v>
      </c>
      <c r="L46" s="41">
        <f>1354562+56600+L55</f>
        <v>1437058</v>
      </c>
      <c r="M46" s="41">
        <v>67</v>
      </c>
      <c r="N46" s="41">
        <v>73</v>
      </c>
    </row>
    <row r="47" spans="1:14" ht="12.75">
      <c r="A47" s="44" t="s">
        <v>74</v>
      </c>
      <c r="B47" s="45">
        <v>121</v>
      </c>
      <c r="C47" s="45">
        <f>SUM(C40:C46)</f>
        <v>11808334</v>
      </c>
      <c r="D47" s="45">
        <f aca="true" t="shared" si="3" ref="D47:J47">SUM(D40:D46)</f>
        <v>1478969</v>
      </c>
      <c r="E47" s="45">
        <f t="shared" si="3"/>
        <v>2435652</v>
      </c>
      <c r="F47" s="45">
        <f t="shared" si="3"/>
        <v>239630</v>
      </c>
      <c r="G47" s="45">
        <f t="shared" si="3"/>
        <v>1984737</v>
      </c>
      <c r="H47" s="45">
        <f t="shared" si="3"/>
        <v>0</v>
      </c>
      <c r="I47" s="45">
        <f t="shared" si="3"/>
        <v>0</v>
      </c>
      <c r="J47" s="45">
        <f t="shared" si="3"/>
        <v>1342172</v>
      </c>
      <c r="K47" s="42">
        <f t="shared" si="0"/>
        <v>19289494</v>
      </c>
      <c r="L47" s="45">
        <f>SUM(L40:L46)</f>
        <v>2204440</v>
      </c>
      <c r="M47" s="45">
        <f>SUM(M40:M46)</f>
        <v>83</v>
      </c>
      <c r="N47" s="45">
        <f>SUM(N40:N46)</f>
        <v>96</v>
      </c>
    </row>
    <row r="48" spans="1:14" ht="12.75">
      <c r="A48" s="44" t="s">
        <v>119</v>
      </c>
      <c r="B48" s="45">
        <v>152</v>
      </c>
      <c r="C48" s="45">
        <f>C32+C39+C47</f>
        <v>14192824</v>
      </c>
      <c r="D48" s="45">
        <f aca="true" t="shared" si="4" ref="D48:J48">D32+D39+D47</f>
        <v>1478969</v>
      </c>
      <c r="E48" s="45">
        <f t="shared" si="4"/>
        <v>2435652</v>
      </c>
      <c r="F48" s="45">
        <f t="shared" si="4"/>
        <v>239630</v>
      </c>
      <c r="G48" s="45">
        <f t="shared" si="4"/>
        <v>2079737</v>
      </c>
      <c r="H48" s="45">
        <f t="shared" si="4"/>
        <v>0</v>
      </c>
      <c r="I48" s="45">
        <f t="shared" si="4"/>
        <v>0</v>
      </c>
      <c r="J48" s="45">
        <f t="shared" si="4"/>
        <v>1521329</v>
      </c>
      <c r="K48" s="42">
        <f t="shared" si="0"/>
        <v>21948141</v>
      </c>
      <c r="L48" s="45">
        <f>L32+L39+L47</f>
        <v>2214230</v>
      </c>
      <c r="M48" s="45">
        <f>M32+M39+M47</f>
        <v>98</v>
      </c>
      <c r="N48" s="45">
        <f>N32+N39+N47</f>
        <v>103</v>
      </c>
    </row>
    <row r="49" spans="1:14" ht="12.75">
      <c r="A49" s="44" t="s">
        <v>51</v>
      </c>
      <c r="B49" s="45">
        <v>158</v>
      </c>
      <c r="C49" s="49">
        <f>67000+117200+104700+72200+144950+108600</f>
        <v>614650</v>
      </c>
      <c r="D49" s="49"/>
      <c r="E49" s="49"/>
      <c r="F49" s="49"/>
      <c r="G49" s="49">
        <v>20000</v>
      </c>
      <c r="H49" s="49"/>
      <c r="I49" s="49"/>
      <c r="J49" s="49">
        <f>5583+7808+8742+5833+12080+8583</f>
        <v>48629</v>
      </c>
      <c r="K49" s="42">
        <f t="shared" si="0"/>
        <v>683279</v>
      </c>
      <c r="L49" s="49">
        <v>20000</v>
      </c>
      <c r="M49" s="49">
        <v>4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14807474</v>
      </c>
      <c r="D50" s="45">
        <f aca="true" t="shared" si="5" ref="D50:J50">D48+D49</f>
        <v>1478969</v>
      </c>
      <c r="E50" s="45">
        <f t="shared" si="5"/>
        <v>2435652</v>
      </c>
      <c r="F50" s="45">
        <f t="shared" si="5"/>
        <v>239630</v>
      </c>
      <c r="G50" s="45">
        <f t="shared" si="5"/>
        <v>2099737</v>
      </c>
      <c r="H50" s="45">
        <f t="shared" si="5"/>
        <v>0</v>
      </c>
      <c r="I50" s="45">
        <f t="shared" si="5"/>
        <v>0</v>
      </c>
      <c r="J50" s="45">
        <f t="shared" si="5"/>
        <v>1569958</v>
      </c>
      <c r="K50" s="42">
        <f t="shared" si="0"/>
        <v>22631420</v>
      </c>
      <c r="L50" s="45">
        <f>L48+L49</f>
        <v>2234230</v>
      </c>
      <c r="M50" s="45">
        <f>M48+M49</f>
        <v>102</v>
      </c>
      <c r="N50" s="45">
        <f>N48+N49</f>
        <v>107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33609</v>
      </c>
      <c r="D55" s="55">
        <v>5512</v>
      </c>
      <c r="E55" s="55">
        <v>5041</v>
      </c>
      <c r="F55" s="55"/>
      <c r="G55" s="55">
        <v>5377</v>
      </c>
      <c r="H55" s="55"/>
      <c r="I55" s="55"/>
      <c r="J55" s="55"/>
      <c r="K55" s="116">
        <f>SUM(C55+D55+E55+F55+G55+H55+I55+J55)</f>
        <v>49539</v>
      </c>
      <c r="L55" s="55">
        <f>6474+19422</f>
        <v>25896</v>
      </c>
      <c r="M55" s="56">
        <v>1</v>
      </c>
      <c r="N55" s="162" t="s">
        <v>217</v>
      </c>
      <c r="O55" s="43"/>
    </row>
    <row r="56" spans="1:15" ht="12.75">
      <c r="A56" s="58" t="s">
        <v>62</v>
      </c>
      <c r="B56" s="59">
        <f>IF(A56="","",VLOOKUP(A56,$A$12:$B$50,2,FALSE))</f>
        <v>119</v>
      </c>
      <c r="C56" s="59"/>
      <c r="D56" s="59"/>
      <c r="E56" s="59"/>
      <c r="F56" s="59"/>
      <c r="G56" s="59"/>
      <c r="H56" s="59"/>
      <c r="I56" s="59"/>
      <c r="J56" s="59">
        <v>-26036</v>
      </c>
      <c r="K56" s="118"/>
      <c r="L56" s="59">
        <v>468648</v>
      </c>
      <c r="M56" s="60">
        <v>1</v>
      </c>
      <c r="N56" s="162" t="s">
        <v>218</v>
      </c>
      <c r="O56" s="43"/>
    </row>
    <row r="57" spans="1:15" ht="12.75">
      <c r="A57" s="58" t="s">
        <v>63</v>
      </c>
      <c r="B57" s="59">
        <f>IF(A57="","",VLOOKUP(A57,$A$12:$B$50,2,FALSE))</f>
        <v>120</v>
      </c>
      <c r="C57" s="59"/>
      <c r="D57" s="59"/>
      <c r="E57" s="59"/>
      <c r="F57" s="59"/>
      <c r="G57" s="59"/>
      <c r="H57" s="59"/>
      <c r="I57" s="59"/>
      <c r="J57" s="59">
        <v>21421</v>
      </c>
      <c r="K57" s="118"/>
      <c r="L57" s="59"/>
      <c r="M57" s="60">
        <v>1</v>
      </c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 t="s">
        <v>216</v>
      </c>
      <c r="C60" s="164"/>
      <c r="D60" s="164"/>
      <c r="E60" s="62"/>
    </row>
    <row r="61" spans="10:11" ht="12.75">
      <c r="J61" s="189" t="s">
        <v>208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E47" sqref="E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7.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 t="s">
        <v>209</v>
      </c>
      <c r="I2" s="179"/>
    </row>
    <row r="3" spans="1:9" ht="12.75">
      <c r="A3" s="3"/>
      <c r="G3" s="5" t="s">
        <v>77</v>
      </c>
      <c r="H3" s="178" t="s">
        <v>210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165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92485</v>
      </c>
      <c r="D17" s="41"/>
      <c r="E17" s="41">
        <v>9567</v>
      </c>
      <c r="F17" s="41">
        <v>1950</v>
      </c>
      <c r="G17" s="41"/>
      <c r="H17" s="41"/>
      <c r="I17" s="41"/>
      <c r="J17" s="42">
        <f t="shared" si="0"/>
        <v>104002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43041</v>
      </c>
      <c r="D23" s="41"/>
      <c r="E23" s="41">
        <v>4453</v>
      </c>
      <c r="F23" s="41">
        <v>1950</v>
      </c>
      <c r="G23" s="41"/>
      <c r="H23" s="41"/>
      <c r="I23" s="41"/>
      <c r="J23" s="42">
        <f t="shared" si="0"/>
        <v>49444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67137</v>
      </c>
      <c r="D24" s="41"/>
      <c r="E24" s="41">
        <v>6945</v>
      </c>
      <c r="F24" s="41">
        <v>3900</v>
      </c>
      <c r="G24" s="41"/>
      <c r="H24" s="41"/>
      <c r="I24" s="41"/>
      <c r="J24" s="42">
        <f t="shared" si="0"/>
        <v>77982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363463</v>
      </c>
      <c r="D25" s="41"/>
      <c r="E25" s="41">
        <v>37600</v>
      </c>
      <c r="F25" s="41">
        <v>15600</v>
      </c>
      <c r="G25" s="41"/>
      <c r="H25" s="41"/>
      <c r="I25" s="41"/>
      <c r="J25" s="42">
        <f t="shared" si="0"/>
        <v>416663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117520</v>
      </c>
      <c r="D27" s="41"/>
      <c r="E27" s="41">
        <v>12157</v>
      </c>
      <c r="F27" s="41">
        <v>3900</v>
      </c>
      <c r="G27" s="41"/>
      <c r="H27" s="41"/>
      <c r="I27" s="41"/>
      <c r="J27" s="42">
        <f t="shared" si="0"/>
        <v>133577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87360</v>
      </c>
      <c r="D29" s="41"/>
      <c r="E29" s="41">
        <v>9037</v>
      </c>
      <c r="F29" s="41">
        <v>1950</v>
      </c>
      <c r="G29" s="41"/>
      <c r="H29" s="41"/>
      <c r="I29" s="41"/>
      <c r="J29" s="42">
        <f t="shared" si="0"/>
        <v>98347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771006</v>
      </c>
      <c r="D32" s="45">
        <f>SUM(D12:D31)</f>
        <v>0</v>
      </c>
      <c r="E32" s="45">
        <f t="shared" si="1"/>
        <v>79759</v>
      </c>
      <c r="F32" s="45">
        <f t="shared" si="1"/>
        <v>29250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880015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169024</v>
      </c>
      <c r="D42" s="41"/>
      <c r="E42" s="41">
        <v>17485</v>
      </c>
      <c r="F42" s="41">
        <v>1950</v>
      </c>
      <c r="G42" s="41"/>
      <c r="H42" s="41"/>
      <c r="I42" s="41"/>
      <c r="J42" s="42">
        <f t="shared" si="0"/>
        <v>188459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300710</v>
      </c>
      <c r="D43" s="41"/>
      <c r="E43" s="41">
        <v>31108</v>
      </c>
      <c r="F43" s="41">
        <v>3900</v>
      </c>
      <c r="G43" s="41"/>
      <c r="H43" s="41"/>
      <c r="I43" s="41"/>
      <c r="J43" s="42">
        <f t="shared" si="0"/>
        <v>335718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511384</v>
      </c>
      <c r="D44" s="41"/>
      <c r="E44" s="41">
        <v>52902</v>
      </c>
      <c r="F44" s="41">
        <v>7800</v>
      </c>
      <c r="G44" s="41"/>
      <c r="H44" s="41"/>
      <c r="I44" s="41"/>
      <c r="J44" s="42">
        <f t="shared" si="0"/>
        <v>572086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877837+C56</f>
        <v>1008825</v>
      </c>
      <c r="D45" s="41"/>
      <c r="E45" s="41">
        <v>90811</v>
      </c>
      <c r="F45" s="41">
        <v>17550</v>
      </c>
      <c r="G45" s="41"/>
      <c r="H45" s="41"/>
      <c r="I45" s="41"/>
      <c r="J45" s="42">
        <f t="shared" si="0"/>
        <v>1117186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f>3734998+C55+C57</f>
        <v>3763086</v>
      </c>
      <c r="D46" s="41"/>
      <c r="E46" s="41">
        <f>386379+E55</f>
        <v>388642</v>
      </c>
      <c r="F46" s="41">
        <v>130650</v>
      </c>
      <c r="G46" s="41">
        <v>175861</v>
      </c>
      <c r="H46" s="41"/>
      <c r="I46" s="41"/>
      <c r="J46" s="42">
        <f t="shared" si="0"/>
        <v>4458239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5753029</v>
      </c>
      <c r="D47" s="45">
        <f>SUM(D40:D46)</f>
        <v>0</v>
      </c>
      <c r="E47" s="45">
        <f t="shared" si="3"/>
        <v>580948</v>
      </c>
      <c r="F47" s="45">
        <f t="shared" si="3"/>
        <v>161850</v>
      </c>
      <c r="G47" s="45">
        <f t="shared" si="3"/>
        <v>175861</v>
      </c>
      <c r="H47" s="45">
        <f t="shared" si="3"/>
        <v>0</v>
      </c>
      <c r="I47" s="45">
        <f t="shared" si="3"/>
        <v>0</v>
      </c>
      <c r="J47" s="42">
        <f t="shared" si="0"/>
        <v>6671688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6524035</v>
      </c>
      <c r="D48" s="45">
        <f>D32+D39+D47</f>
        <v>0</v>
      </c>
      <c r="E48" s="45">
        <f t="shared" si="4"/>
        <v>660707</v>
      </c>
      <c r="F48" s="45">
        <f t="shared" si="4"/>
        <v>191100</v>
      </c>
      <c r="G48" s="45">
        <f t="shared" si="4"/>
        <v>175861</v>
      </c>
      <c r="H48" s="45">
        <f t="shared" si="4"/>
        <v>0</v>
      </c>
      <c r="I48" s="45">
        <f t="shared" si="4"/>
        <v>0</v>
      </c>
      <c r="J48" s="42">
        <f t="shared" si="0"/>
        <v>7551703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198151</v>
      </c>
      <c r="D49" s="49"/>
      <c r="E49" s="49">
        <v>20498</v>
      </c>
      <c r="F49" s="49">
        <v>7001</v>
      </c>
      <c r="G49" s="49"/>
      <c r="H49" s="49"/>
      <c r="I49" s="49"/>
      <c r="J49" s="42">
        <f t="shared" si="0"/>
        <v>225650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6722186</v>
      </c>
      <c r="D50" s="45">
        <f>D48+D49</f>
        <v>0</v>
      </c>
      <c r="E50" s="45">
        <f t="shared" si="5"/>
        <v>681205</v>
      </c>
      <c r="F50" s="45">
        <f t="shared" si="5"/>
        <v>198101</v>
      </c>
      <c r="G50" s="45">
        <f t="shared" si="5"/>
        <v>175861</v>
      </c>
      <c r="H50" s="45">
        <f t="shared" si="5"/>
        <v>0</v>
      </c>
      <c r="I50" s="45">
        <f t="shared" si="5"/>
        <v>0</v>
      </c>
      <c r="J50" s="42">
        <f t="shared" si="0"/>
        <v>7777353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f>18104+3395+377</f>
        <v>21876</v>
      </c>
      <c r="D55" s="55"/>
      <c r="E55" s="55">
        <v>2263</v>
      </c>
      <c r="F55" s="55"/>
      <c r="G55" s="55"/>
      <c r="H55" s="55"/>
      <c r="I55" s="55"/>
      <c r="J55" s="128">
        <f>SUM(C55+D55+E55+F55+G55+H55+I55)</f>
        <v>24139</v>
      </c>
      <c r="K55" s="55"/>
      <c r="L55" s="56"/>
      <c r="M55" s="129"/>
      <c r="N55" s="112"/>
      <c r="O55" s="114"/>
      <c r="P55" s="130"/>
    </row>
    <row r="56" spans="1:16" s="46" customFormat="1" ht="12.75">
      <c r="A56" s="58" t="s">
        <v>62</v>
      </c>
      <c r="B56" s="59">
        <f>IF(A56="","",VLOOKUP(A56,$A$12:$B$50,2,FALSE))</f>
        <v>119</v>
      </c>
      <c r="C56" s="59">
        <f>94853+22584+13551</f>
        <v>130988</v>
      </c>
      <c r="D56" s="59"/>
      <c r="E56" s="59"/>
      <c r="F56" s="59"/>
      <c r="G56" s="59"/>
      <c r="H56" s="59"/>
      <c r="I56" s="59"/>
      <c r="J56" s="128">
        <f>SUM(C56+D56+E56+F56+G56+H56+I56)</f>
        <v>130988</v>
      </c>
      <c r="K56" s="59"/>
      <c r="L56" s="60"/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f>5141+964+107</f>
        <v>6212</v>
      </c>
      <c r="D57" s="59"/>
      <c r="E57" s="59"/>
      <c r="F57" s="59"/>
      <c r="G57" s="59"/>
      <c r="H57" s="59"/>
      <c r="I57" s="59"/>
      <c r="J57" s="128">
        <f>SUM(C57+D57+E57+F57+G57+H57+I57)</f>
        <v>6212</v>
      </c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 t="s">
        <v>214</v>
      </c>
      <c r="C60" s="164"/>
      <c r="D60" s="164"/>
      <c r="E60" s="164"/>
      <c r="F60" s="62"/>
    </row>
    <row r="61" spans="8:9" ht="12.75">
      <c r="H61" s="189" t="s">
        <v>208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55" sqref="A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5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8" t="s">
        <v>212</v>
      </c>
      <c r="L2" s="179"/>
    </row>
    <row r="3" spans="1:12" ht="12.75">
      <c r="A3" s="3"/>
      <c r="H3" s="4"/>
      <c r="I3" s="4"/>
      <c r="J3" s="5" t="s">
        <v>77</v>
      </c>
      <c r="K3" s="178" t="s">
        <v>210</v>
      </c>
      <c r="L3" s="179"/>
    </row>
    <row r="4" ht="18" customHeight="1">
      <c r="A4" s="6"/>
    </row>
    <row r="5" spans="1:13" ht="18">
      <c r="A5" s="181" t="s">
        <v>82</v>
      </c>
      <c r="B5" s="181"/>
      <c r="C5" s="181"/>
      <c r="D5" s="181"/>
      <c r="E5" s="7" t="s">
        <v>83</v>
      </c>
      <c r="F5" s="180" t="s">
        <v>89</v>
      </c>
      <c r="G5" s="180"/>
      <c r="H5" s="180"/>
      <c r="I5" s="180"/>
      <c r="J5" s="180"/>
      <c r="K5" s="180"/>
      <c r="L5" s="180"/>
      <c r="M5" s="180"/>
    </row>
    <row r="6" spans="1:12" ht="15.75" thickBot="1">
      <c r="A6" s="8"/>
      <c r="L6" s="9" t="s">
        <v>76</v>
      </c>
    </row>
    <row r="7" spans="1:14" ht="12.75">
      <c r="A7" s="10"/>
      <c r="B7" s="11"/>
      <c r="C7" s="186" t="s">
        <v>99</v>
      </c>
      <c r="D7" s="187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6" t="s">
        <v>121</v>
      </c>
      <c r="N7" s="19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3"/>
      <c r="N8" s="185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4" t="s">
        <v>122</v>
      </c>
      <c r="N9" s="175"/>
    </row>
    <row r="10" spans="1:14" ht="13.5" thickBot="1">
      <c r="A10" s="25"/>
      <c r="B10" s="26"/>
      <c r="C10" s="165" t="s">
        <v>101</v>
      </c>
      <c r="D10" s="16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6"/>
      <c r="N10" s="177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257460</v>
      </c>
      <c r="D17" s="41"/>
      <c r="E17" s="41"/>
      <c r="F17" s="41"/>
      <c r="G17" s="41">
        <v>40000</v>
      </c>
      <c r="H17" s="41"/>
      <c r="I17" s="41"/>
      <c r="J17" s="41">
        <v>21455</v>
      </c>
      <c r="K17" s="42">
        <f t="shared" si="0"/>
        <v>318915</v>
      </c>
      <c r="L17" s="41"/>
      <c r="M17" s="41">
        <v>1</v>
      </c>
      <c r="N17" s="41">
        <v>1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137000</v>
      </c>
      <c r="D23" s="41"/>
      <c r="E23" s="41"/>
      <c r="F23" s="41"/>
      <c r="G23" s="41"/>
      <c r="H23" s="41"/>
      <c r="I23" s="41"/>
      <c r="J23" s="41">
        <v>11417</v>
      </c>
      <c r="K23" s="42">
        <f t="shared" si="0"/>
        <v>148417</v>
      </c>
      <c r="L23" s="41"/>
      <c r="M23" s="41">
        <v>1</v>
      </c>
      <c r="N23" s="41"/>
    </row>
    <row r="24" spans="1:14" ht="12.75">
      <c r="A24" s="39" t="s">
        <v>32</v>
      </c>
      <c r="B24" s="40">
        <v>83</v>
      </c>
      <c r="C24" s="41">
        <f>115900+97800</f>
        <v>213700</v>
      </c>
      <c r="D24" s="41"/>
      <c r="E24" s="41"/>
      <c r="F24" s="41"/>
      <c r="G24" s="41"/>
      <c r="H24" s="41"/>
      <c r="I24" s="41"/>
      <c r="J24" s="41">
        <f>9658+8150</f>
        <v>17808</v>
      </c>
      <c r="K24" s="42">
        <f t="shared" si="0"/>
        <v>231508</v>
      </c>
      <c r="L24" s="41">
        <v>1008</v>
      </c>
      <c r="M24" s="41">
        <v>2</v>
      </c>
      <c r="N24" s="41"/>
    </row>
    <row r="25" spans="1:14" ht="12.75">
      <c r="A25" s="39" t="s">
        <v>33</v>
      </c>
      <c r="B25" s="40">
        <v>84</v>
      </c>
      <c r="C25" s="41">
        <f>135300+109300+174800+144300+137700+126100+118900+142700</f>
        <v>1089100</v>
      </c>
      <c r="D25" s="41"/>
      <c r="E25" s="41"/>
      <c r="F25" s="41"/>
      <c r="G25" s="41">
        <v>15000</v>
      </c>
      <c r="H25" s="41"/>
      <c r="I25" s="41"/>
      <c r="J25" s="41">
        <f>11275+9108+14567+12025+11475+10508+9908</f>
        <v>78866</v>
      </c>
      <c r="K25" s="42">
        <f t="shared" si="0"/>
        <v>1182966</v>
      </c>
      <c r="L25" s="41"/>
      <c r="M25" s="41">
        <v>8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f>179216+185900</f>
        <v>365116</v>
      </c>
      <c r="D27" s="41"/>
      <c r="E27" s="41"/>
      <c r="F27" s="41"/>
      <c r="G27" s="41">
        <v>10000</v>
      </c>
      <c r="H27" s="41"/>
      <c r="I27" s="41"/>
      <c r="J27" s="41">
        <f>15492+14935</f>
        <v>30427</v>
      </c>
      <c r="K27" s="42">
        <f t="shared" si="0"/>
        <v>405543</v>
      </c>
      <c r="L27" s="41">
        <v>36000</v>
      </c>
      <c r="M27" s="41">
        <v>2</v>
      </c>
      <c r="N27" s="41">
        <v>2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251400</v>
      </c>
      <c r="D29" s="41"/>
      <c r="E29" s="41"/>
      <c r="F29" s="41"/>
      <c r="G29" s="41">
        <v>30000</v>
      </c>
      <c r="H29" s="41"/>
      <c r="I29" s="41"/>
      <c r="J29" s="41">
        <v>20950</v>
      </c>
      <c r="K29" s="42">
        <f t="shared" si="0"/>
        <v>302350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2313776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95000</v>
      </c>
      <c r="H32" s="45">
        <f t="shared" si="1"/>
        <v>0</v>
      </c>
      <c r="I32" s="45">
        <f t="shared" si="1"/>
        <v>0</v>
      </c>
      <c r="J32" s="45">
        <f t="shared" si="1"/>
        <v>180923</v>
      </c>
      <c r="K32" s="42">
        <f t="shared" si="0"/>
        <v>2589699</v>
      </c>
      <c r="L32" s="45">
        <f>SUM(L12:L31)</f>
        <v>37008</v>
      </c>
      <c r="M32" s="45">
        <f>SUM(M12:M31)</f>
        <v>15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32466</v>
      </c>
      <c r="E42" s="41">
        <v>92760</v>
      </c>
      <c r="F42" s="41">
        <v>3865</v>
      </c>
      <c r="G42" s="41">
        <f>92760+6957</f>
        <v>99717</v>
      </c>
      <c r="H42" s="41"/>
      <c r="I42" s="41"/>
      <c r="J42" s="41">
        <v>44834</v>
      </c>
      <c r="K42" s="42">
        <f t="shared" si="0"/>
        <v>582842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f>289875+289875</f>
        <v>579750</v>
      </c>
      <c r="D43" s="41">
        <f>28988+26669</f>
        <v>55657</v>
      </c>
      <c r="E43" s="41">
        <f>86963+86963</f>
        <v>173926</v>
      </c>
      <c r="F43" s="41">
        <f>23190+3865</f>
        <v>27055</v>
      </c>
      <c r="G43" s="41">
        <f>57975+57975+4831</f>
        <v>120781</v>
      </c>
      <c r="H43" s="41"/>
      <c r="I43" s="41"/>
      <c r="J43" s="41">
        <f>40985+38779</f>
        <v>79764</v>
      </c>
      <c r="K43" s="42">
        <f t="shared" si="0"/>
        <v>1036933</v>
      </c>
      <c r="L43" s="41">
        <v>18400</v>
      </c>
      <c r="M43" s="41">
        <v>2</v>
      </c>
      <c r="N43" s="41">
        <v>2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102038</v>
      </c>
      <c r="E44" s="41">
        <v>324660</v>
      </c>
      <c r="F44" s="41"/>
      <c r="G44" s="41">
        <f>108220+5798+4831</f>
        <v>118849</v>
      </c>
      <c r="H44" s="41"/>
      <c r="I44" s="41"/>
      <c r="J44" s="41">
        <v>135645</v>
      </c>
      <c r="K44" s="42">
        <f t="shared" si="0"/>
        <v>1763392</v>
      </c>
      <c r="L44" s="41">
        <v>73600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1820416</v>
      </c>
      <c r="D45" s="41">
        <v>215284</v>
      </c>
      <c r="E45" s="41">
        <v>546128</v>
      </c>
      <c r="F45" s="41">
        <v>135275</v>
      </c>
      <c r="G45" s="41">
        <f>10589+4784+13160+6281+28988</f>
        <v>63802</v>
      </c>
      <c r="H45" s="41"/>
      <c r="I45" s="41"/>
      <c r="J45" s="41">
        <v>227523</v>
      </c>
      <c r="K45" s="42">
        <f t="shared" si="0"/>
        <v>3008428</v>
      </c>
      <c r="L45" s="41">
        <f>19413+46000</f>
        <v>65413</v>
      </c>
      <c r="M45" s="41">
        <v>9</v>
      </c>
      <c r="N45" s="41">
        <v>16</v>
      </c>
    </row>
    <row r="46" spans="1:14" ht="12.75">
      <c r="A46" s="48" t="s">
        <v>63</v>
      </c>
      <c r="B46" s="40">
        <v>120</v>
      </c>
      <c r="C46" s="41">
        <v>7994754</v>
      </c>
      <c r="D46" s="41">
        <v>1069420</v>
      </c>
      <c r="E46" s="41">
        <v>1294877</v>
      </c>
      <c r="F46" s="41">
        <v>81165</v>
      </c>
      <c r="G46" s="41">
        <f>70361+30920+161818+44717+633860+116434+406025</f>
        <v>1464135</v>
      </c>
      <c r="H46" s="41"/>
      <c r="I46" s="41"/>
      <c r="J46" s="41">
        <v>905502</v>
      </c>
      <c r="K46" s="42">
        <f t="shared" si="0"/>
        <v>12809853</v>
      </c>
      <c r="L46" s="41">
        <f>537377+57525</f>
        <v>594902</v>
      </c>
      <c r="M46" s="41">
        <v>67</v>
      </c>
      <c r="N46" s="41">
        <v>73</v>
      </c>
    </row>
    <row r="47" spans="1:14" ht="12.75">
      <c r="A47" s="44" t="s">
        <v>74</v>
      </c>
      <c r="B47" s="45">
        <v>121</v>
      </c>
      <c r="C47" s="45">
        <f>SUM(C40:C46)</f>
        <v>11786320</v>
      </c>
      <c r="D47" s="45">
        <f aca="true" t="shared" si="3" ref="D47:J47">SUM(D40:D46)</f>
        <v>1474865</v>
      </c>
      <c r="E47" s="45">
        <f t="shared" si="3"/>
        <v>2432351</v>
      </c>
      <c r="F47" s="45">
        <f t="shared" si="3"/>
        <v>247360</v>
      </c>
      <c r="G47" s="45">
        <f t="shared" si="3"/>
        <v>1867284</v>
      </c>
      <c r="H47" s="45">
        <f t="shared" si="3"/>
        <v>0</v>
      </c>
      <c r="I47" s="45">
        <f t="shared" si="3"/>
        <v>0</v>
      </c>
      <c r="J47" s="45">
        <f t="shared" si="3"/>
        <v>1393268</v>
      </c>
      <c r="K47" s="42">
        <f t="shared" si="0"/>
        <v>19201448</v>
      </c>
      <c r="L47" s="45">
        <f>SUM(L40:L46)</f>
        <v>752315</v>
      </c>
      <c r="M47" s="45">
        <f>SUM(M40:M46)</f>
        <v>83</v>
      </c>
      <c r="N47" s="45">
        <f>SUM(N40:N46)</f>
        <v>96</v>
      </c>
    </row>
    <row r="48" spans="1:14" ht="12.75">
      <c r="A48" s="44" t="s">
        <v>119</v>
      </c>
      <c r="B48" s="45">
        <v>152</v>
      </c>
      <c r="C48" s="45">
        <f>C32+C39+C47</f>
        <v>14100096</v>
      </c>
      <c r="D48" s="45">
        <f aca="true" t="shared" si="4" ref="D48:J48">D32+D39+D47</f>
        <v>1474865</v>
      </c>
      <c r="E48" s="45">
        <f t="shared" si="4"/>
        <v>2432351</v>
      </c>
      <c r="F48" s="45">
        <f t="shared" si="4"/>
        <v>247360</v>
      </c>
      <c r="G48" s="45">
        <f t="shared" si="4"/>
        <v>1962284</v>
      </c>
      <c r="H48" s="45">
        <f t="shared" si="4"/>
        <v>0</v>
      </c>
      <c r="I48" s="45">
        <f t="shared" si="4"/>
        <v>0</v>
      </c>
      <c r="J48" s="45">
        <f t="shared" si="4"/>
        <v>1574191</v>
      </c>
      <c r="K48" s="42">
        <f t="shared" si="0"/>
        <v>21791147</v>
      </c>
      <c r="L48" s="45">
        <f>L32+L39+L47</f>
        <v>789323</v>
      </c>
      <c r="M48" s="45">
        <f>M32+M39+M47</f>
        <v>98</v>
      </c>
      <c r="N48" s="45">
        <f>N32+N39+N47</f>
        <v>103</v>
      </c>
    </row>
    <row r="49" spans="1:14" ht="12.75">
      <c r="A49" s="44" t="s">
        <v>51</v>
      </c>
      <c r="B49" s="45">
        <v>158</v>
      </c>
      <c r="C49" s="49">
        <v>614650</v>
      </c>
      <c r="D49" s="49"/>
      <c r="E49" s="49"/>
      <c r="F49" s="49"/>
      <c r="G49" s="49">
        <v>20000</v>
      </c>
      <c r="H49" s="49"/>
      <c r="I49" s="49"/>
      <c r="J49" s="49">
        <v>51221</v>
      </c>
      <c r="K49" s="42">
        <f t="shared" si="0"/>
        <v>685871</v>
      </c>
      <c r="L49" s="49">
        <v>6582</v>
      </c>
      <c r="M49" s="49">
        <v>4</v>
      </c>
      <c r="N49" s="49">
        <v>4</v>
      </c>
    </row>
    <row r="50" spans="1:14" ht="12.75">
      <c r="A50" s="44" t="s">
        <v>75</v>
      </c>
      <c r="B50" s="45">
        <v>159</v>
      </c>
      <c r="C50" s="45">
        <f>C48+C49</f>
        <v>14714746</v>
      </c>
      <c r="D50" s="45">
        <f aca="true" t="shared" si="5" ref="D50:J50">D48+D49</f>
        <v>1474865</v>
      </c>
      <c r="E50" s="45">
        <f t="shared" si="5"/>
        <v>2432351</v>
      </c>
      <c r="F50" s="45">
        <f t="shared" si="5"/>
        <v>247360</v>
      </c>
      <c r="G50" s="45">
        <f t="shared" si="5"/>
        <v>1982284</v>
      </c>
      <c r="H50" s="45">
        <f t="shared" si="5"/>
        <v>0</v>
      </c>
      <c r="I50" s="45">
        <f t="shared" si="5"/>
        <v>0</v>
      </c>
      <c r="J50" s="45">
        <f t="shared" si="5"/>
        <v>1625412</v>
      </c>
      <c r="K50" s="42">
        <f t="shared" si="0"/>
        <v>22477018</v>
      </c>
      <c r="L50" s="45">
        <f>L48+L49</f>
        <v>795905</v>
      </c>
      <c r="M50" s="45">
        <f>M48+M49</f>
        <v>102</v>
      </c>
      <c r="N50" s="45">
        <f>N48+N49</f>
        <v>107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5"/>
      <c r="N52" s="114"/>
    </row>
    <row r="53" spans="1:14" ht="12.75">
      <c r="A53" s="169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0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64" t="s">
        <v>221</v>
      </c>
      <c r="C60" s="164"/>
      <c r="D60" s="164"/>
      <c r="E60" s="62"/>
    </row>
    <row r="61" spans="10:11" ht="12.75">
      <c r="J61" s="189" t="s">
        <v>208</v>
      </c>
      <c r="K61" s="189"/>
    </row>
    <row r="62" spans="10:11" ht="12.75">
      <c r="J62" s="188" t="s">
        <v>48</v>
      </c>
      <c r="K62" s="188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68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K53" sqref="K53:L5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6.87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Baranya Megyei Büntetés-végrehajtási Intézet</v>
      </c>
    </row>
    <row r="2" spans="1:9" ht="12.75">
      <c r="A2" s="3" t="s">
        <v>71</v>
      </c>
      <c r="G2" s="5" t="s">
        <v>0</v>
      </c>
      <c r="H2" s="178" t="s">
        <v>209</v>
      </c>
      <c r="I2" s="179"/>
    </row>
    <row r="3" spans="1:9" ht="12.75">
      <c r="A3" s="3"/>
      <c r="G3" s="5" t="s">
        <v>77</v>
      </c>
      <c r="H3" s="178" t="s">
        <v>210</v>
      </c>
      <c r="I3" s="179"/>
    </row>
    <row r="4" ht="18" customHeight="1">
      <c r="A4" s="6"/>
    </row>
    <row r="5" spans="1:10" ht="18">
      <c r="A5" s="181" t="s">
        <v>85</v>
      </c>
      <c r="B5" s="181"/>
      <c r="C5" s="181"/>
      <c r="D5" s="181"/>
      <c r="E5" s="181"/>
      <c r="F5" s="7" t="s">
        <v>83</v>
      </c>
      <c r="G5" s="180" t="s">
        <v>166</v>
      </c>
      <c r="H5" s="180"/>
      <c r="I5" s="180"/>
      <c r="J5" s="180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92485</v>
      </c>
      <c r="D17" s="41"/>
      <c r="E17" s="41">
        <v>9567</v>
      </c>
      <c r="F17" s="41">
        <v>1950</v>
      </c>
      <c r="G17" s="41"/>
      <c r="H17" s="41"/>
      <c r="I17" s="41"/>
      <c r="J17" s="42">
        <f t="shared" si="0"/>
        <v>104002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43041</v>
      </c>
      <c r="D23" s="41"/>
      <c r="E23" s="41">
        <v>4452</v>
      </c>
      <c r="F23" s="41">
        <v>1950</v>
      </c>
      <c r="G23" s="41"/>
      <c r="H23" s="41"/>
      <c r="I23" s="41"/>
      <c r="J23" s="42">
        <f t="shared" si="0"/>
        <v>49443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67137</v>
      </c>
      <c r="D24" s="41"/>
      <c r="E24" s="41">
        <v>6945</v>
      </c>
      <c r="F24" s="41">
        <v>3900</v>
      </c>
      <c r="G24" s="41"/>
      <c r="H24" s="41"/>
      <c r="I24" s="41"/>
      <c r="J24" s="42">
        <f t="shared" si="0"/>
        <v>77982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343060</v>
      </c>
      <c r="D25" s="41"/>
      <c r="E25" s="41">
        <v>35489</v>
      </c>
      <c r="F25" s="41">
        <v>15600</v>
      </c>
      <c r="G25" s="41"/>
      <c r="H25" s="41"/>
      <c r="I25" s="41"/>
      <c r="J25" s="42">
        <f t="shared" si="0"/>
        <v>394149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117607</v>
      </c>
      <c r="D27" s="41"/>
      <c r="E27" s="41">
        <v>12166</v>
      </c>
      <c r="F27" s="41">
        <v>3900</v>
      </c>
      <c r="G27" s="41"/>
      <c r="H27" s="41"/>
      <c r="I27" s="41"/>
      <c r="J27" s="42">
        <f t="shared" si="0"/>
        <v>133673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87682</v>
      </c>
      <c r="D29" s="41"/>
      <c r="E29" s="41">
        <v>9071</v>
      </c>
      <c r="F29" s="41">
        <v>1950</v>
      </c>
      <c r="G29" s="41"/>
      <c r="H29" s="41"/>
      <c r="I29" s="41"/>
      <c r="J29" s="42">
        <f t="shared" si="0"/>
        <v>98703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751012</v>
      </c>
      <c r="D32" s="45">
        <f>SUM(D12:D31)</f>
        <v>0</v>
      </c>
      <c r="E32" s="45">
        <f t="shared" si="1"/>
        <v>77690</v>
      </c>
      <c r="F32" s="45">
        <f t="shared" si="1"/>
        <v>29250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857952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169024</v>
      </c>
      <c r="D42" s="41"/>
      <c r="E42" s="41">
        <v>17485</v>
      </c>
      <c r="F42" s="41">
        <v>1950</v>
      </c>
      <c r="G42" s="41"/>
      <c r="H42" s="41"/>
      <c r="I42" s="41"/>
      <c r="J42" s="42">
        <f t="shared" si="0"/>
        <v>188459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300711</v>
      </c>
      <c r="D43" s="41"/>
      <c r="E43" s="41">
        <v>31108</v>
      </c>
      <c r="F43" s="41">
        <v>3900</v>
      </c>
      <c r="G43" s="41"/>
      <c r="H43" s="41"/>
      <c r="I43" s="41"/>
      <c r="J43" s="42">
        <f t="shared" si="0"/>
        <v>335719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511384+C56</f>
        <v>853955</v>
      </c>
      <c r="D44" s="41"/>
      <c r="E44" s="41">
        <f>52902+E56</f>
        <v>88340</v>
      </c>
      <c r="F44" s="41">
        <v>7800</v>
      </c>
      <c r="G44" s="41"/>
      <c r="H44" s="41"/>
      <c r="I44" s="41"/>
      <c r="J44" s="42">
        <f t="shared" si="0"/>
        <v>950095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872444</v>
      </c>
      <c r="D45" s="41"/>
      <c r="E45" s="41">
        <v>90253</v>
      </c>
      <c r="F45" s="41">
        <v>17550</v>
      </c>
      <c r="G45" s="41"/>
      <c r="H45" s="41"/>
      <c r="I45" s="41"/>
      <c r="J45" s="42">
        <f t="shared" si="0"/>
        <v>980247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f>3714857+11600</f>
        <v>3726457</v>
      </c>
      <c r="D46" s="41"/>
      <c r="E46" s="41">
        <v>384295</v>
      </c>
      <c r="F46" s="41">
        <v>130650</v>
      </c>
      <c r="G46" s="41">
        <v>158995</v>
      </c>
      <c r="H46" s="41"/>
      <c r="I46" s="41"/>
      <c r="J46" s="42">
        <f t="shared" si="0"/>
        <v>4400397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5922591</v>
      </c>
      <c r="D47" s="45">
        <f>SUM(D40:D46)</f>
        <v>0</v>
      </c>
      <c r="E47" s="45">
        <f t="shared" si="3"/>
        <v>611481</v>
      </c>
      <c r="F47" s="45">
        <f t="shared" si="3"/>
        <v>161850</v>
      </c>
      <c r="G47" s="45">
        <f t="shared" si="3"/>
        <v>158995</v>
      </c>
      <c r="H47" s="45">
        <f t="shared" si="3"/>
        <v>0</v>
      </c>
      <c r="I47" s="45">
        <f t="shared" si="3"/>
        <v>0</v>
      </c>
      <c r="J47" s="42">
        <f t="shared" si="0"/>
        <v>6854917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6673603</v>
      </c>
      <c r="D48" s="45">
        <f>D32+D39+D47</f>
        <v>0</v>
      </c>
      <c r="E48" s="45">
        <f t="shared" si="4"/>
        <v>689171</v>
      </c>
      <c r="F48" s="45">
        <f t="shared" si="4"/>
        <v>191100</v>
      </c>
      <c r="G48" s="45">
        <f t="shared" si="4"/>
        <v>158995</v>
      </c>
      <c r="H48" s="45">
        <f t="shared" si="4"/>
        <v>0</v>
      </c>
      <c r="I48" s="45">
        <f t="shared" si="4"/>
        <v>0</v>
      </c>
      <c r="J48" s="42">
        <f t="shared" si="0"/>
        <v>7712869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198902</v>
      </c>
      <c r="D49" s="49"/>
      <c r="E49" s="49">
        <v>20576</v>
      </c>
      <c r="F49" s="49">
        <v>7001</v>
      </c>
      <c r="G49" s="49"/>
      <c r="H49" s="49"/>
      <c r="I49" s="49"/>
      <c r="J49" s="42">
        <f t="shared" si="0"/>
        <v>226479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6872505</v>
      </c>
      <c r="D50" s="45">
        <f>D48+D49</f>
        <v>0</v>
      </c>
      <c r="E50" s="45">
        <f t="shared" si="5"/>
        <v>709747</v>
      </c>
      <c r="F50" s="45">
        <f t="shared" si="5"/>
        <v>198101</v>
      </c>
      <c r="G50" s="45">
        <f t="shared" si="5"/>
        <v>158995</v>
      </c>
      <c r="H50" s="45">
        <f t="shared" si="5"/>
        <v>0</v>
      </c>
      <c r="I50" s="45">
        <f t="shared" si="5"/>
        <v>0</v>
      </c>
      <c r="J50" s="42">
        <f t="shared" si="0"/>
        <v>7939348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2" t="s">
        <v>163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37"/>
      <c r="N52" s="133"/>
    </row>
    <row r="53" spans="1:14" s="46" customFormat="1" ht="12.75">
      <c r="A53" s="169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0" t="s">
        <v>160</v>
      </c>
      <c r="L53" s="191"/>
      <c r="M53" s="125"/>
      <c r="N53" s="126"/>
    </row>
    <row r="54" spans="1:14" s="46" customFormat="1" ht="12.75">
      <c r="A54" s="170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f>9600+1800+200</f>
        <v>11600</v>
      </c>
      <c r="D55" s="55"/>
      <c r="E55" s="55"/>
      <c r="F55" s="55"/>
      <c r="G55" s="55"/>
      <c r="H55" s="55"/>
      <c r="I55" s="55"/>
      <c r="J55" s="128">
        <v>11600</v>
      </c>
      <c r="K55" s="55"/>
      <c r="L55" s="56"/>
      <c r="M55" s="129"/>
      <c r="N55" s="112"/>
      <c r="O55" s="114"/>
      <c r="P55" s="130"/>
    </row>
    <row r="56" spans="1:16" s="46" customFormat="1" ht="12.75">
      <c r="A56" s="58" t="s">
        <v>61</v>
      </c>
      <c r="B56" s="59">
        <f>IF(A56="","",VLOOKUP(A56,$A$12:$B$50,2,FALSE))</f>
        <v>75</v>
      </c>
      <c r="C56" s="59">
        <f>283507+53158+5906</f>
        <v>342571</v>
      </c>
      <c r="D56" s="59"/>
      <c r="E56" s="59">
        <v>35438</v>
      </c>
      <c r="F56" s="59"/>
      <c r="G56" s="59"/>
      <c r="H56" s="59"/>
      <c r="I56" s="59"/>
      <c r="J56" s="128">
        <f>C56+E56</f>
        <v>378009</v>
      </c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64" t="s">
        <v>216</v>
      </c>
      <c r="C60" s="164"/>
      <c r="D60" s="164"/>
      <c r="E60" s="164"/>
      <c r="F60" s="62"/>
    </row>
    <row r="61" spans="8:9" ht="12.75">
      <c r="H61" s="189" t="s">
        <v>228</v>
      </c>
      <c r="I61" s="189"/>
    </row>
    <row r="62" spans="8:9" ht="12.75">
      <c r="H62" s="188" t="s">
        <v>48</v>
      </c>
      <c r="I62" s="188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imi</cp:lastModifiedBy>
  <cp:lastPrinted>2008-06-24T11:30:56Z</cp:lastPrinted>
  <dcterms:created xsi:type="dcterms:W3CDTF">2001-02-26T08:59:43Z</dcterms:created>
  <dcterms:modified xsi:type="dcterms:W3CDTF">2008-07-17T09:42:52Z</dcterms:modified>
  <cp:category/>
  <cp:version/>
  <cp:contentType/>
  <cp:contentStatus/>
</cp:coreProperties>
</file>