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895" windowHeight="4575" tabRatio="950" activeTab="15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1" sheetId="23" r:id="rId23"/>
    <sheet name="10M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'összM'!$A$264:$A$297</definedName>
    <definedName name="Illetmény_besorolás">'össz'!$A$264:$A$297</definedName>
    <definedName name="Intézetek" localSheetId="28">'összM'!$A$223:$A$254</definedName>
    <definedName name="Intézetek">'össz'!$A$223:$A$254</definedName>
    <definedName name="_xlnm.Print_Area" localSheetId="27">'össz'!$A$1:$P$78</definedName>
    <definedName name="_xlnm.Print_Area" localSheetId="28">'összM'!$A$1:$N$78</definedName>
  </definedNames>
  <calcPr fullCalcOnLoad="1"/>
</workbook>
</file>

<file path=xl/sharedStrings.xml><?xml version="1.0" encoding="utf-8"?>
<sst xmlns="http://schemas.openxmlformats.org/spreadsheetml/2006/main" count="3341" uniqueCount="217">
  <si>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</si>
  <si>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</si>
  <si>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</si>
  <si>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</si>
  <si>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</si>
  <si>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</si>
  <si>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</si>
  <si>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</si>
  <si>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</si>
  <si>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</si>
  <si>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</si>
  <si>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</si>
  <si>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</si>
  <si>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</si>
  <si>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</si>
  <si>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</si>
  <si>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</si>
  <si>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</si>
  <si>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</si>
  <si>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</si>
  <si>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</si>
  <si>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</si>
  <si>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</si>
  <si>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</si>
  <si>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</si>
  <si>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</si>
  <si>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</si>
  <si>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</si>
  <si>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</si>
  <si>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</si>
  <si>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</si>
  <si>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</si>
  <si>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</si>
  <si>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</si>
  <si>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</si>
  <si>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</si>
  <si>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</si>
  <si>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</si>
  <si>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</si>
  <si>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</si>
  <si>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</si>
  <si>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</si>
  <si>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</si>
  <si>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</si>
  <si>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</si>
  <si>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</si>
  <si>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</si>
  <si>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</si>
  <si>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</si>
  <si>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</si>
  <si>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</si>
  <si>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</si>
  <si>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</si>
  <si>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</si>
  <si>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</si>
  <si>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</si>
  <si>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</si>
  <si>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</si>
  <si>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</si>
  <si>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</si>
  <si>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</si>
  <si>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</si>
  <si>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</si>
  <si>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</si>
  <si>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</si>
  <si>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</si>
  <si>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</si>
  <si>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</si>
  <si>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</si>
  <si>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</si>
  <si>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</si>
  <si>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</si>
  <si>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</si>
  <si>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</si>
  <si>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</si>
  <si>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</si>
  <si>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</si>
  <si>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</si>
  <si>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</si>
  <si>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</si>
  <si>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</si>
  <si>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</si>
  <si>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</si>
  <si>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</si>
  <si>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</si>
  <si>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</si>
  <si>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</si>
  <si>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</si>
  <si>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február havi létszáma és keresetbe tartozó személyi juttatásai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</si>
  <si>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</si>
  <si>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</si>
  <si>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</si>
  <si>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</si>
  <si>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</si>
  <si>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</si>
  <si>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</si>
  <si>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</si>
  <si>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</si>
  <si>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</si>
  <si>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</si>
  <si>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</si>
  <si>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</si>
  <si>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</si>
  <si>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</si>
  <si>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</si>
  <si>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</si>
  <si>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</si>
  <si>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</si>
  <si>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</si>
  <si>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</si>
  <si>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</si>
  <si>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</si>
  <si>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</si>
  <si>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</si>
  <si>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</si>
  <si>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</si>
  <si>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</si>
  <si>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</si>
  <si>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</si>
  <si>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</si>
  <si>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</si>
  <si>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</si>
  <si>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</si>
  <si>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</si>
  <si>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</si>
  <si>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</si>
  <si>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</si>
  <si>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</si>
  <si>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</si>
  <si>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</si>
  <si>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</si>
  <si>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</si>
  <si>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</si>
  <si>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</si>
  <si>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</si>
  <si>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</si>
  <si>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</si>
  <si>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</si>
  <si>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</si>
  <si>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</si>
  <si>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</si>
  <si>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</si>
  <si>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</si>
  <si>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</si>
  <si>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</si>
  <si>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</si>
  <si>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</si>
  <si>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</si>
  <si>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</si>
  <si>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</si>
  <si>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</si>
  <si>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</si>
  <si>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</si>
  <si>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</si>
  <si>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</si>
  <si>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</si>
  <si>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</si>
  <si>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</si>
  <si>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</si>
  <si>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</si>
  <si>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</si>
  <si>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</si>
  <si>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</si>
  <si>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</si>
  <si>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</si>
  <si>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február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</si>
  <si>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</si>
  <si>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</si>
  <si>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</si>
  <si>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</si>
  <si>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</si>
  <si>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</si>
  <si>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</si>
  <si>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</si>
  <si>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</si>
  <si>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</si>
  <si>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</si>
  <si>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</si>
  <si>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</si>
  <si>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</si>
  <si>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</si>
  <si>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</si>
  <si>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</si>
  <si>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</si>
  <si>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</si>
  <si>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</si>
  <si>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</si>
  <si>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</si>
  <si>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</si>
  <si>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</si>
  <si>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</si>
  <si>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</si>
  <si>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</si>
  <si>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</si>
  <si>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</si>
  <si>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</si>
  <si>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</si>
  <si>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</si>
  <si>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</si>
  <si>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</si>
  <si>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</si>
  <si>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</si>
  <si>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 táblázatot a szokásos módon kérjük kitölteni.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</si>
  <si>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</si>
  <si>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</si>
  <si>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részt. (Hónap közben érkeztek, vagy távoztak, azaz tört havi illetményük van. Ezeket az adatokat természetesen a táblázatban is szerepeltetni kell!)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</si>
  <si>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 2008. április 16-án érkezett dolgozónál 12 és 23 a beírandó számok)</t>
  </si>
  <si>
    <t>A "Nem egész hónapra számfejtett illetmények részletezése" táblázatokba kulcsszámonként (listából lehet kiválasztani) kérjük megadni az adatokat havonta, valamint az összesítő táblákba időrendbe egymásután az előző havi adatok után, azokat meghagyva.</t>
  </si>
  <si>
    <t>116-1609</t>
  </si>
  <si>
    <t>Budapest, 2008. május 30.</t>
  </si>
  <si>
    <t>Eisenbacher Henrietta bv. zls</t>
  </si>
  <si>
    <t>Nagy Noémi bv. százados</t>
  </si>
  <si>
    <t>Bakos Mónika bv. zls.
Barkóczi Tünde bv. tzls.
Zsidó Andrea bv. zls.</t>
  </si>
  <si>
    <t>Budapest, 2008. június 20.</t>
  </si>
  <si>
    <t>Budapest, 2008. június 30.</t>
  </si>
  <si>
    <t>Barkóczi Tünde bv. tzls.</t>
  </si>
  <si>
    <t>Budapest, 2008. július 18.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</si>
</sst>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46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  <font>
      <sz val="8"/>
      <name val="Tahoma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0"/>
      <name val="Times New Roman"/>
      <family val="2"/>
    </font>
    <font>
      <sz val="9"/>
      <color rgb="FFFF0000"/>
      <name val="Times New Roman"/>
      <family val="2"/>
    </font>
    <font>
      <sz val="9"/>
      <color rgb="FFFA7D00"/>
      <name val="Times New Roman"/>
      <family val="2"/>
    </font>
    <font>
      <sz val="9"/>
      <color rgb="FF006100"/>
      <name val="Times New Roman"/>
      <family val="2"/>
    </font>
    <font>
      <b/>
      <sz val="9"/>
      <color rgb="FF3F3F3F"/>
      <name val="Times New Roman"/>
      <family val="2"/>
    </font>
    <font>
      <i/>
      <sz val="9"/>
      <color rgb="FF7F7F7F"/>
      <name val="Times New Roman"/>
      <family val="2"/>
    </font>
    <font>
      <b/>
      <sz val="9"/>
      <color theme="1"/>
      <name val="Times New Roman"/>
      <family val="2"/>
    </font>
    <font>
      <sz val="9"/>
      <color rgb="FF9C0006"/>
      <name val="Times New Roman"/>
      <family val="2"/>
    </font>
    <font>
      <sz val="9"/>
      <color rgb="FF9C6500"/>
      <name val="Times New Roman"/>
      <family val="2"/>
    </font>
    <font>
      <b/>
      <sz val="9"/>
      <color rgb="FFFA7D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34" borderId="22" xfId="0" applyFont="1" applyFill="1" applyBorder="1" applyAlignment="1" applyProtection="1">
      <alignment/>
      <protection hidden="1"/>
    </xf>
    <xf numFmtId="0" fontId="0" fillId="34" borderId="23" xfId="55" applyFont="1" applyFill="1" applyBorder="1" applyAlignment="1" applyProtection="1">
      <alignment/>
      <protection hidden="1"/>
    </xf>
    <xf numFmtId="0" fontId="0" fillId="34" borderId="23" xfId="0" applyFont="1" applyFill="1" applyBorder="1" applyAlignment="1" applyProtection="1">
      <alignment/>
      <protection hidden="1"/>
    </xf>
    <xf numFmtId="0" fontId="0" fillId="34" borderId="24" xfId="0" applyFont="1" applyFill="1" applyBorder="1" applyAlignment="1" applyProtection="1">
      <alignment/>
      <protection hidden="1"/>
    </xf>
    <xf numFmtId="0" fontId="0" fillId="34" borderId="25" xfId="0" applyFont="1" applyFill="1" applyBorder="1" applyAlignment="1" applyProtection="1">
      <alignment/>
      <protection hidden="1"/>
    </xf>
    <xf numFmtId="0" fontId="0" fillId="34" borderId="26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33" borderId="10" xfId="0" applyNumberFormat="1" applyFill="1" applyBorder="1" applyAlignment="1" applyProtection="1">
      <alignment/>
      <protection hidden="1"/>
    </xf>
    <xf numFmtId="3" fontId="0" fillId="35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3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4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34" borderId="22" xfId="0" applyFont="1" applyFill="1" applyBorder="1" applyAlignment="1" applyProtection="1">
      <alignment/>
      <protection hidden="1"/>
    </xf>
    <xf numFmtId="0" fontId="0" fillId="34" borderId="23" xfId="0" applyFont="1" applyFill="1" applyBorder="1" applyAlignment="1" applyProtection="1">
      <alignment/>
      <protection hidden="1"/>
    </xf>
    <xf numFmtId="0" fontId="0" fillId="34" borderId="24" xfId="0" applyFont="1" applyFill="1" applyBorder="1" applyAlignment="1" applyProtection="1">
      <alignment/>
      <protection hidden="1"/>
    </xf>
    <xf numFmtId="0" fontId="0" fillId="34" borderId="3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35" borderId="10" xfId="0" applyNumberFormat="1" applyFill="1" applyBorder="1" applyAlignment="1" applyProtection="1">
      <alignment/>
      <protection hidden="1"/>
    </xf>
    <xf numFmtId="3" fontId="0" fillId="33" borderId="10" xfId="0" applyNumberFormat="1" applyFill="1" applyBorder="1" applyAlignment="1" applyProtection="1">
      <alignment/>
      <protection hidden="1"/>
    </xf>
    <xf numFmtId="10" fontId="0" fillId="35" borderId="10" xfId="62" applyNumberFormat="1" applyFont="1" applyFill="1" applyBorder="1" applyAlignment="1" applyProtection="1">
      <alignment/>
      <protection hidden="1"/>
    </xf>
    <xf numFmtId="3" fontId="0" fillId="35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35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35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8" xfId="0" applyBorder="1" applyAlignment="1" applyProtection="1">
      <alignment horizontal="centerContinuous"/>
      <protection hidden="1"/>
    </xf>
    <xf numFmtId="0" fontId="0" fillId="34" borderId="30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35" borderId="10" xfId="0" applyNumberFormat="1" applyFont="1" applyFill="1" applyBorder="1" applyAlignment="1" applyProtection="1">
      <alignment/>
      <protection hidden="1"/>
    </xf>
    <xf numFmtId="3" fontId="2" fillId="33" borderId="10" xfId="0" applyNumberFormat="1" applyFont="1" applyFill="1" applyBorder="1" applyAlignment="1" applyProtection="1">
      <alignment/>
      <protection hidden="1"/>
    </xf>
    <xf numFmtId="177" fontId="0" fillId="35" borderId="10" xfId="0" applyNumberFormat="1" applyFill="1" applyBorder="1" applyAlignment="1" applyProtection="1">
      <alignment/>
      <protection hidden="1"/>
    </xf>
    <xf numFmtId="177" fontId="2" fillId="33" borderId="10" xfId="0" applyNumberFormat="1" applyFont="1" applyFill="1" applyBorder="1" applyAlignment="1" applyProtection="1">
      <alignment/>
      <protection hidden="1"/>
    </xf>
    <xf numFmtId="0" fontId="0" fillId="0" borderId="31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" fontId="2" fillId="35" borderId="10" xfId="0" applyNumberFormat="1" applyFont="1" applyFill="1" applyBorder="1" applyAlignment="1" applyProtection="1">
      <alignment/>
      <protection hidden="1"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 applyProtection="1">
      <alignment/>
      <protection hidden="1"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3" borderId="23" xfId="0" applyFill="1" applyBorder="1" applyAlignment="1" applyProtection="1">
      <alignment/>
      <protection hidden="1"/>
    </xf>
    <xf numFmtId="0" fontId="0" fillId="33" borderId="32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3" fontId="0" fillId="33" borderId="0" xfId="0" applyNumberFormat="1" applyFill="1" applyBorder="1" applyAlignment="1" applyProtection="1">
      <alignment horizontal="center"/>
      <protection hidden="1"/>
    </xf>
    <xf numFmtId="3" fontId="0" fillId="33" borderId="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 quotePrefix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wrapText="1"/>
      <protection hidden="1"/>
    </xf>
    <xf numFmtId="3" fontId="0" fillId="33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5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spans="1:15" ht="12.75">
      <c r="A2" s="168" t="s">
        <v>203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4" spans="1:15" ht="12.75">
      <c r="A4" s="168" t="s">
        <v>202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6" spans="1:15" ht="12.75" customHeight="1">
      <c r="A6" s="167" t="s">
        <v>205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1:15" ht="12.7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1:15" ht="12.7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10" spans="1:15" ht="12.75">
      <c r="A10" s="168" t="s">
        <v>204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</row>
    <row r="12" spans="1:15" ht="12.75">
      <c r="A12" s="167" t="s">
        <v>206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</row>
    <row r="13" spans="1:15" ht="12.7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</row>
    <row r="15" spans="1:15" ht="12.75">
      <c r="A15" s="167" t="s">
        <v>207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</row>
    <row r="16" spans="1:15" ht="12.7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</row>
  </sheetData>
  <sheetProtection/>
  <mergeCells count="6">
    <mergeCell ref="A12:O13"/>
    <mergeCell ref="A15:O16"/>
    <mergeCell ref="A4:O4"/>
    <mergeCell ref="A2:O2"/>
    <mergeCell ref="A10:O10"/>
    <mergeCell ref="A6:O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69" t="s">
        <v>210</v>
      </c>
      <c r="L2" s="170"/>
    </row>
    <row r="3" spans="1:12" ht="12.75">
      <c r="A3" s="3"/>
      <c r="H3" s="4"/>
      <c r="I3" s="4"/>
      <c r="J3" s="5" t="s">
        <v>77</v>
      </c>
      <c r="K3" s="169" t="s">
        <v>208</v>
      </c>
      <c r="L3" s="170"/>
    </row>
    <row r="4" ht="18" customHeight="1">
      <c r="A4" s="6"/>
    </row>
    <row r="5" spans="1:13" ht="18">
      <c r="A5" s="172" t="s">
        <v>82</v>
      </c>
      <c r="B5" s="172"/>
      <c r="C5" s="172"/>
      <c r="D5" s="172"/>
      <c r="E5" s="7" t="s">
        <v>83</v>
      </c>
      <c r="F5" s="171" t="s">
        <v>90</v>
      </c>
      <c r="G5" s="171"/>
      <c r="H5" s="171"/>
      <c r="I5" s="171"/>
      <c r="J5" s="171"/>
      <c r="K5" s="171"/>
      <c r="L5" s="171"/>
      <c r="M5" s="17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5" t="s">
        <v>121</v>
      </c>
      <c r="N7" s="196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9" t="s">
        <v>122</v>
      </c>
      <c r="N9" s="190"/>
    </row>
    <row r="10" spans="1:14" ht="13.5" thickBot="1">
      <c r="A10" s="25"/>
      <c r="B10" s="26"/>
      <c r="C10" s="176" t="s">
        <v>101</v>
      </c>
      <c r="D10" s="177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32"/>
      <c r="N10" s="33"/>
    </row>
    <row r="11" spans="1:14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9"/>
    </row>
    <row r="12" spans="1:14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3"/>
      <c r="K12" s="44">
        <f>SUM(C12:J12)</f>
        <v>0</v>
      </c>
      <c r="L12" s="43"/>
      <c r="M12" s="43"/>
      <c r="N12" s="43"/>
    </row>
    <row r="13" spans="1:14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3"/>
      <c r="K13" s="44">
        <f aca="true" t="shared" si="0" ref="K13:K50">SUM(C13:J13)</f>
        <v>0</v>
      </c>
      <c r="L13" s="43"/>
      <c r="M13" s="43"/>
      <c r="N13" s="43"/>
    </row>
    <row r="14" spans="1:14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3"/>
      <c r="K14" s="44">
        <f t="shared" si="0"/>
        <v>0</v>
      </c>
      <c r="L14" s="43"/>
      <c r="M14" s="43"/>
      <c r="N14" s="43"/>
    </row>
    <row r="15" spans="1:14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3"/>
      <c r="K15" s="44">
        <f t="shared" si="0"/>
        <v>0</v>
      </c>
      <c r="L15" s="43"/>
      <c r="M15" s="43"/>
      <c r="N15" s="43"/>
    </row>
    <row r="16" spans="1:14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3"/>
      <c r="K16" s="44">
        <f t="shared" si="0"/>
        <v>0</v>
      </c>
      <c r="L16" s="43"/>
      <c r="M16" s="43"/>
      <c r="N16" s="43"/>
    </row>
    <row r="17" spans="1:14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3"/>
      <c r="K17" s="44">
        <f t="shared" si="0"/>
        <v>0</v>
      </c>
      <c r="L17" s="43"/>
      <c r="M17" s="43"/>
      <c r="N17" s="43"/>
    </row>
    <row r="18" spans="1:14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3"/>
      <c r="K18" s="44">
        <f t="shared" si="0"/>
        <v>0</v>
      </c>
      <c r="L18" s="43"/>
      <c r="M18" s="43"/>
      <c r="N18" s="43"/>
    </row>
    <row r="19" spans="1:14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3"/>
      <c r="K19" s="44">
        <f t="shared" si="0"/>
        <v>0</v>
      </c>
      <c r="L19" s="43"/>
      <c r="M19" s="43"/>
      <c r="N19" s="43"/>
    </row>
    <row r="20" spans="1:14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3"/>
      <c r="K20" s="44">
        <f t="shared" si="0"/>
        <v>0</v>
      </c>
      <c r="L20" s="43"/>
      <c r="M20" s="43"/>
      <c r="N20" s="43"/>
    </row>
    <row r="21" spans="1:14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3"/>
      <c r="K21" s="44">
        <f t="shared" si="0"/>
        <v>0</v>
      </c>
      <c r="L21" s="43"/>
      <c r="M21" s="43"/>
      <c r="N21" s="43"/>
    </row>
    <row r="22" spans="1:21" s="45" customFormat="1" ht="12.75" customHeight="1">
      <c r="A22" s="41" t="s">
        <v>38</v>
      </c>
      <c r="B22" s="42">
        <v>81</v>
      </c>
      <c r="C22" s="163">
        <v>374408</v>
      </c>
      <c r="D22" s="43"/>
      <c r="E22" s="43"/>
      <c r="F22" s="163"/>
      <c r="G22" s="163"/>
      <c r="H22" s="43"/>
      <c r="I22" s="43"/>
      <c r="J22" s="163">
        <v>32034</v>
      </c>
      <c r="K22" s="44">
        <f t="shared" si="0"/>
        <v>406442</v>
      </c>
      <c r="L22" s="43"/>
      <c r="M22" s="43">
        <v>4</v>
      </c>
      <c r="N22" s="43">
        <v>4</v>
      </c>
      <c r="O22" s="2"/>
      <c r="P22" s="2"/>
      <c r="Q22" s="2"/>
      <c r="R22" s="2"/>
      <c r="S22" s="2"/>
      <c r="T22" s="2"/>
      <c r="U22" s="2"/>
    </row>
    <row r="23" spans="1:14" ht="12.75">
      <c r="A23" s="41" t="s">
        <v>39</v>
      </c>
      <c r="B23" s="42">
        <v>82</v>
      </c>
      <c r="C23" s="163">
        <v>115420</v>
      </c>
      <c r="D23" s="43"/>
      <c r="E23" s="43"/>
      <c r="F23" s="163"/>
      <c r="G23" s="163"/>
      <c r="H23" s="43"/>
      <c r="I23" s="43"/>
      <c r="J23" s="163">
        <v>9618</v>
      </c>
      <c r="K23" s="44">
        <f t="shared" si="0"/>
        <v>125038</v>
      </c>
      <c r="L23" s="43"/>
      <c r="M23" s="43">
        <v>1</v>
      </c>
      <c r="N23" s="43">
        <v>0</v>
      </c>
    </row>
    <row r="24" spans="1:14" ht="12.75">
      <c r="A24" s="41" t="s">
        <v>32</v>
      </c>
      <c r="B24" s="42">
        <v>83</v>
      </c>
      <c r="C24" s="163">
        <v>627292</v>
      </c>
      <c r="D24" s="43"/>
      <c r="E24" s="43"/>
      <c r="F24" s="163"/>
      <c r="G24" s="163">
        <v>34799</v>
      </c>
      <c r="H24" s="43"/>
      <c r="I24" s="43"/>
      <c r="J24" s="163">
        <v>52272</v>
      </c>
      <c r="K24" s="44">
        <f t="shared" si="0"/>
        <v>714363</v>
      </c>
      <c r="L24" s="43"/>
      <c r="M24" s="43">
        <v>5</v>
      </c>
      <c r="N24" s="43">
        <v>6</v>
      </c>
    </row>
    <row r="25" spans="1:14" ht="12.75">
      <c r="A25" s="41" t="s">
        <v>33</v>
      </c>
      <c r="B25" s="42">
        <v>84</v>
      </c>
      <c r="C25" s="163">
        <v>5156132</v>
      </c>
      <c r="D25" s="43"/>
      <c r="E25" s="43"/>
      <c r="F25" s="163"/>
      <c r="G25" s="163">
        <v>171228</v>
      </c>
      <c r="H25" s="43"/>
      <c r="I25" s="43"/>
      <c r="J25" s="163">
        <v>391051</v>
      </c>
      <c r="K25" s="44">
        <f t="shared" si="0"/>
        <v>5718411</v>
      </c>
      <c r="L25" s="163">
        <v>254224</v>
      </c>
      <c r="M25" s="43">
        <v>41</v>
      </c>
      <c r="N25" s="43">
        <v>30</v>
      </c>
    </row>
    <row r="26" spans="1:14" ht="12.75">
      <c r="A26" s="41" t="s">
        <v>34</v>
      </c>
      <c r="B26" s="42">
        <v>85</v>
      </c>
      <c r="C26" s="163">
        <v>524708</v>
      </c>
      <c r="D26" s="43"/>
      <c r="E26" s="43"/>
      <c r="F26" s="163">
        <v>10000</v>
      </c>
      <c r="G26" s="163">
        <v>87817</v>
      </c>
      <c r="H26" s="43"/>
      <c r="I26" s="43"/>
      <c r="J26" s="163">
        <v>43227</v>
      </c>
      <c r="K26" s="44">
        <f t="shared" si="0"/>
        <v>665752</v>
      </c>
      <c r="L26" s="163">
        <v>95989</v>
      </c>
      <c r="M26" s="43">
        <v>3</v>
      </c>
      <c r="N26" s="43">
        <v>1</v>
      </c>
    </row>
    <row r="27" spans="1:14" ht="12.75">
      <c r="A27" s="41" t="s">
        <v>35</v>
      </c>
      <c r="B27" s="42">
        <v>86</v>
      </c>
      <c r="C27" s="163">
        <v>1419900</v>
      </c>
      <c r="D27" s="43"/>
      <c r="E27" s="43"/>
      <c r="F27" s="163"/>
      <c r="G27" s="163"/>
      <c r="H27" s="43"/>
      <c r="I27" s="43"/>
      <c r="J27" s="163">
        <v>118325</v>
      </c>
      <c r="K27" s="44">
        <f t="shared" si="0"/>
        <v>1538225</v>
      </c>
      <c r="L27" s="163">
        <v>80000</v>
      </c>
      <c r="M27" s="43">
        <v>6</v>
      </c>
      <c r="N27" s="43">
        <v>4</v>
      </c>
    </row>
    <row r="28" spans="1:14" ht="12.75">
      <c r="A28" s="41" t="s">
        <v>36</v>
      </c>
      <c r="B28" s="42">
        <v>87</v>
      </c>
      <c r="C28" s="163">
        <v>260300</v>
      </c>
      <c r="D28" s="43"/>
      <c r="E28" s="43"/>
      <c r="F28" s="163">
        <v>30000</v>
      </c>
      <c r="G28" s="163">
        <v>39200</v>
      </c>
      <c r="H28" s="43"/>
      <c r="I28" s="43"/>
      <c r="J28" s="163">
        <v>-20491</v>
      </c>
      <c r="K28" s="44">
        <f t="shared" si="0"/>
        <v>309009</v>
      </c>
      <c r="L28" s="163"/>
      <c r="M28" s="43">
        <v>1</v>
      </c>
      <c r="N28" s="43">
        <v>1</v>
      </c>
    </row>
    <row r="29" spans="1:14" ht="12.75">
      <c r="A29" s="41" t="s">
        <v>37</v>
      </c>
      <c r="B29" s="42">
        <v>88</v>
      </c>
      <c r="C29" s="163">
        <v>557400</v>
      </c>
      <c r="D29" s="43"/>
      <c r="E29" s="43"/>
      <c r="F29" s="163"/>
      <c r="G29" s="163">
        <v>39200</v>
      </c>
      <c r="H29" s="43"/>
      <c r="I29" s="43"/>
      <c r="J29" s="163">
        <v>46450</v>
      </c>
      <c r="K29" s="44">
        <f t="shared" si="0"/>
        <v>643050</v>
      </c>
      <c r="L29" s="163"/>
      <c r="M29" s="43">
        <v>2</v>
      </c>
      <c r="N29" s="43">
        <v>3</v>
      </c>
    </row>
    <row r="30" spans="1:14" ht="12.75">
      <c r="A30" s="41" t="s">
        <v>40</v>
      </c>
      <c r="B30" s="42">
        <v>89</v>
      </c>
      <c r="C30" s="163">
        <v>1232600</v>
      </c>
      <c r="D30" s="43"/>
      <c r="E30" s="43"/>
      <c r="F30" s="163"/>
      <c r="G30" s="163"/>
      <c r="H30" s="43"/>
      <c r="I30" s="43"/>
      <c r="J30" s="163">
        <v>102717</v>
      </c>
      <c r="K30" s="44">
        <f t="shared" si="0"/>
        <v>1335317</v>
      </c>
      <c r="L30" s="163">
        <v>192519</v>
      </c>
      <c r="M30" s="43">
        <v>4</v>
      </c>
      <c r="N30" s="43">
        <v>0</v>
      </c>
    </row>
    <row r="31" spans="1:14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3"/>
      <c r="K31" s="44">
        <f t="shared" si="0"/>
        <v>0</v>
      </c>
      <c r="L31" s="43"/>
      <c r="M31" s="43"/>
      <c r="N31" s="43">
        <v>0</v>
      </c>
    </row>
    <row r="32" spans="1:14" s="48" customFormat="1" ht="12.75">
      <c r="A32" s="46" t="s">
        <v>73</v>
      </c>
      <c r="B32" s="42">
        <v>92</v>
      </c>
      <c r="C32" s="47">
        <f>SUM(C12:C31)</f>
        <v>10268160</v>
      </c>
      <c r="D32" s="47">
        <f aca="true" t="shared" si="1" ref="D32:J32">SUM(D12:D31)</f>
        <v>0</v>
      </c>
      <c r="E32" s="47">
        <f t="shared" si="1"/>
        <v>0</v>
      </c>
      <c r="F32" s="47">
        <f t="shared" si="1"/>
        <v>40000</v>
      </c>
      <c r="G32" s="47">
        <f t="shared" si="1"/>
        <v>372244</v>
      </c>
      <c r="H32" s="47">
        <f t="shared" si="1"/>
        <v>0</v>
      </c>
      <c r="I32" s="47">
        <f t="shared" si="1"/>
        <v>0</v>
      </c>
      <c r="J32" s="47">
        <f t="shared" si="1"/>
        <v>775203</v>
      </c>
      <c r="K32" s="44">
        <f t="shared" si="0"/>
        <v>11455607</v>
      </c>
      <c r="L32" s="47">
        <f>SUM(L12:L31)</f>
        <v>622732</v>
      </c>
      <c r="M32" s="47">
        <f>SUM(M12:M31)</f>
        <v>67</v>
      </c>
      <c r="N32" s="47">
        <f>SUM(N12:N31)</f>
        <v>49</v>
      </c>
    </row>
    <row r="33" spans="1:14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3"/>
      <c r="K33" s="44">
        <f t="shared" si="0"/>
        <v>0</v>
      </c>
      <c r="L33" s="43"/>
      <c r="M33" s="43"/>
      <c r="N33" s="43"/>
    </row>
    <row r="34" spans="1:14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3"/>
      <c r="K34" s="44">
        <f t="shared" si="0"/>
        <v>0</v>
      </c>
      <c r="L34" s="43"/>
      <c r="M34" s="43"/>
      <c r="N34" s="43"/>
    </row>
    <row r="35" spans="1:14" s="48" customFormat="1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3"/>
      <c r="K35" s="44">
        <f t="shared" si="0"/>
        <v>0</v>
      </c>
      <c r="L35" s="43"/>
      <c r="M35" s="43"/>
      <c r="N35" s="43"/>
    </row>
    <row r="36" spans="1:14" s="48" customFormat="1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3"/>
      <c r="K36" s="44">
        <f t="shared" si="0"/>
        <v>0</v>
      </c>
      <c r="L36" s="43"/>
      <c r="M36" s="43"/>
      <c r="N36" s="43"/>
    </row>
    <row r="37" spans="1:14" s="48" customFormat="1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3"/>
      <c r="K37" s="44">
        <f t="shared" si="0"/>
        <v>0</v>
      </c>
      <c r="L37" s="43"/>
      <c r="M37" s="43"/>
      <c r="N37" s="43"/>
    </row>
    <row r="38" spans="1:14" s="112" customFormat="1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3"/>
      <c r="K38" s="44">
        <f t="shared" si="0"/>
        <v>0</v>
      </c>
      <c r="L38" s="43"/>
      <c r="M38" s="43"/>
      <c r="N38" s="43"/>
    </row>
    <row r="39" spans="1:14" ht="12.75">
      <c r="A39" s="46" t="s">
        <v>72</v>
      </c>
      <c r="B39" s="42">
        <v>110</v>
      </c>
      <c r="C39" s="47">
        <f>SUM(C33:C38)</f>
        <v>0</v>
      </c>
      <c r="D39" s="47">
        <f aca="true" t="shared" si="2" ref="D39:J39"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44">
        <f t="shared" si="0"/>
        <v>0</v>
      </c>
      <c r="L39" s="47">
        <f>SUM(L33:L38)</f>
        <v>0</v>
      </c>
      <c r="M39" s="47">
        <f>SUM(M33:M38)</f>
        <v>0</v>
      </c>
      <c r="N39" s="47">
        <f>SUM(N33:N38)</f>
        <v>0</v>
      </c>
    </row>
    <row r="40" spans="1:14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3"/>
      <c r="K40" s="44">
        <f t="shared" si="0"/>
        <v>0</v>
      </c>
      <c r="L40" s="43"/>
      <c r="M40" s="43"/>
      <c r="N40" s="43"/>
    </row>
    <row r="41" spans="1:14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3"/>
      <c r="K41" s="44">
        <f t="shared" si="0"/>
        <v>0</v>
      </c>
      <c r="L41" s="43"/>
      <c r="M41" s="43"/>
      <c r="N41" s="43"/>
    </row>
    <row r="42" spans="1:14" ht="12.75">
      <c r="A42" s="50" t="s">
        <v>59</v>
      </c>
      <c r="B42" s="42">
        <v>113</v>
      </c>
      <c r="C42" s="163">
        <v>309200</v>
      </c>
      <c r="D42" s="163">
        <v>36718</v>
      </c>
      <c r="E42" s="163">
        <v>92760</v>
      </c>
      <c r="F42" s="163">
        <v>15460</v>
      </c>
      <c r="G42" s="163">
        <v>119815</v>
      </c>
      <c r="H42" s="43"/>
      <c r="I42" s="43"/>
      <c r="J42" s="163">
        <v>47829</v>
      </c>
      <c r="K42" s="44">
        <f t="shared" si="0"/>
        <v>621782</v>
      </c>
      <c r="L42" s="43"/>
      <c r="M42" s="43">
        <v>1</v>
      </c>
      <c r="N42" s="43">
        <v>1</v>
      </c>
    </row>
    <row r="43" spans="1:14" ht="12.75">
      <c r="A43" s="50" t="s">
        <v>60</v>
      </c>
      <c r="B43" s="42">
        <v>114</v>
      </c>
      <c r="C43" s="163">
        <v>1159500</v>
      </c>
      <c r="D43" s="163">
        <v>111314</v>
      </c>
      <c r="E43" s="163">
        <v>347852</v>
      </c>
      <c r="F43" s="163">
        <v>52178</v>
      </c>
      <c r="G43" s="163">
        <v>248519</v>
      </c>
      <c r="H43" s="43"/>
      <c r="I43" s="43"/>
      <c r="J43" s="163">
        <v>159947</v>
      </c>
      <c r="K43" s="44">
        <f t="shared" si="0"/>
        <v>2079310</v>
      </c>
      <c r="L43" s="163">
        <v>97025</v>
      </c>
      <c r="M43" s="43">
        <v>4</v>
      </c>
      <c r="N43" s="43">
        <v>4</v>
      </c>
    </row>
    <row r="44" spans="1:14" ht="12.75">
      <c r="A44" s="50" t="s">
        <v>61</v>
      </c>
      <c r="B44" s="42">
        <v>115</v>
      </c>
      <c r="C44" s="163">
        <v>4869900</v>
      </c>
      <c r="D44" s="163">
        <v>482784</v>
      </c>
      <c r="E44" s="163">
        <v>1420388</v>
      </c>
      <c r="F44" s="163">
        <v>222238</v>
      </c>
      <c r="G44" s="163">
        <v>519070</v>
      </c>
      <c r="H44" s="43"/>
      <c r="I44" s="43"/>
      <c r="J44" s="163">
        <v>626199</v>
      </c>
      <c r="K44" s="44">
        <f t="shared" si="0"/>
        <v>8140579</v>
      </c>
      <c r="L44" s="163">
        <v>406621</v>
      </c>
      <c r="M44" s="43">
        <v>16</v>
      </c>
      <c r="N44" s="43">
        <v>16</v>
      </c>
    </row>
    <row r="45" spans="1:14" ht="12.75">
      <c r="A45" s="50" t="s">
        <v>62</v>
      </c>
      <c r="B45" s="42">
        <v>119</v>
      </c>
      <c r="C45" s="163">
        <v>14884807</v>
      </c>
      <c r="D45" s="163">
        <v>1680904</v>
      </c>
      <c r="E45" s="163">
        <v>4188049</v>
      </c>
      <c r="F45" s="163">
        <v>1342538</v>
      </c>
      <c r="G45" s="163">
        <v>299345</v>
      </c>
      <c r="H45" s="43"/>
      <c r="I45" s="43"/>
      <c r="J45" s="163">
        <v>1806540</v>
      </c>
      <c r="K45" s="44">
        <f t="shared" si="0"/>
        <v>24202183</v>
      </c>
      <c r="L45" s="163">
        <v>1443203</v>
      </c>
      <c r="M45" s="43">
        <v>78</v>
      </c>
      <c r="N45" s="43">
        <v>89</v>
      </c>
    </row>
    <row r="46" spans="1:14" ht="12.75">
      <c r="A46" s="50" t="s">
        <v>63</v>
      </c>
      <c r="B46" s="42">
        <v>120</v>
      </c>
      <c r="C46" s="163">
        <v>56534409</v>
      </c>
      <c r="D46" s="163">
        <v>8270746</v>
      </c>
      <c r="E46" s="163">
        <v>8753222</v>
      </c>
      <c r="F46" s="163">
        <v>557116</v>
      </c>
      <c r="G46" s="163">
        <v>13255198</v>
      </c>
      <c r="H46" s="43"/>
      <c r="I46" s="43"/>
      <c r="J46" s="163">
        <v>6424242</v>
      </c>
      <c r="K46" s="44">
        <f t="shared" si="0"/>
        <v>93794933</v>
      </c>
      <c r="L46" s="163">
        <v>7338037</v>
      </c>
      <c r="M46" s="43">
        <v>528</v>
      </c>
      <c r="N46" s="43">
        <v>631</v>
      </c>
    </row>
    <row r="47" spans="1:14" ht="12.75">
      <c r="A47" s="46" t="s">
        <v>74</v>
      </c>
      <c r="B47" s="47">
        <v>121</v>
      </c>
      <c r="C47" s="47">
        <f>SUM(C40:C46)</f>
        <v>77757816</v>
      </c>
      <c r="D47" s="47">
        <f aca="true" t="shared" si="3" ref="D47:J47">SUM(D40:D46)</f>
        <v>10582466</v>
      </c>
      <c r="E47" s="47">
        <f t="shared" si="3"/>
        <v>14802271</v>
      </c>
      <c r="F47" s="47">
        <f t="shared" si="3"/>
        <v>2189530</v>
      </c>
      <c r="G47" s="47">
        <f t="shared" si="3"/>
        <v>14441947</v>
      </c>
      <c r="H47" s="47">
        <f t="shared" si="3"/>
        <v>0</v>
      </c>
      <c r="I47" s="47">
        <f t="shared" si="3"/>
        <v>0</v>
      </c>
      <c r="J47" s="47">
        <f t="shared" si="3"/>
        <v>9064757</v>
      </c>
      <c r="K47" s="44">
        <f t="shared" si="0"/>
        <v>128838787</v>
      </c>
      <c r="L47" s="47">
        <f>SUM(L40:L46)</f>
        <v>9284886</v>
      </c>
      <c r="M47" s="47">
        <f>SUM(M40:M46)</f>
        <v>627</v>
      </c>
      <c r="N47" s="47">
        <f>SUM(N40:N46)</f>
        <v>741</v>
      </c>
    </row>
    <row r="48" spans="1:14" ht="12.75">
      <c r="A48" s="46" t="s">
        <v>119</v>
      </c>
      <c r="B48" s="47">
        <v>152</v>
      </c>
      <c r="C48" s="47">
        <f>C32+C39+C47</f>
        <v>88025976</v>
      </c>
      <c r="D48" s="47">
        <f aca="true" t="shared" si="4" ref="D48:J48">D32+D39+D47</f>
        <v>10582466</v>
      </c>
      <c r="E48" s="47">
        <f t="shared" si="4"/>
        <v>14802271</v>
      </c>
      <c r="F48" s="47">
        <f t="shared" si="4"/>
        <v>2229530</v>
      </c>
      <c r="G48" s="47">
        <f t="shared" si="4"/>
        <v>14814191</v>
      </c>
      <c r="H48" s="47">
        <f t="shared" si="4"/>
        <v>0</v>
      </c>
      <c r="I48" s="47">
        <f t="shared" si="4"/>
        <v>0</v>
      </c>
      <c r="J48" s="47">
        <f t="shared" si="4"/>
        <v>9839960</v>
      </c>
      <c r="K48" s="44">
        <f t="shared" si="0"/>
        <v>140294394</v>
      </c>
      <c r="L48" s="47">
        <f>L32+L39+L47</f>
        <v>9907618</v>
      </c>
      <c r="M48" s="47">
        <f>M32+M39+M47</f>
        <v>694</v>
      </c>
      <c r="N48" s="47">
        <f>N32+N39+N47</f>
        <v>790</v>
      </c>
    </row>
    <row r="49" spans="1:14" ht="12.75">
      <c r="A49" s="46" t="s">
        <v>51</v>
      </c>
      <c r="B49" s="47">
        <v>158</v>
      </c>
      <c r="C49" s="163">
        <v>433900</v>
      </c>
      <c r="D49" s="51"/>
      <c r="E49" s="51"/>
      <c r="F49" s="51"/>
      <c r="G49" s="163">
        <v>19600</v>
      </c>
      <c r="H49" s="51"/>
      <c r="I49" s="51"/>
      <c r="J49" s="163">
        <v>36159</v>
      </c>
      <c r="K49" s="44">
        <f t="shared" si="0"/>
        <v>489659</v>
      </c>
      <c r="L49" s="165">
        <v>80000</v>
      </c>
      <c r="M49" s="51">
        <v>2</v>
      </c>
      <c r="N49" s="51">
        <v>3</v>
      </c>
    </row>
    <row r="50" spans="1:14" ht="12.75">
      <c r="A50" s="46" t="s">
        <v>75</v>
      </c>
      <c r="B50" s="47">
        <v>159</v>
      </c>
      <c r="C50" s="47">
        <f>C48+C49</f>
        <v>88459876</v>
      </c>
      <c r="D50" s="47">
        <f aca="true" t="shared" si="5" ref="D50:J50">D48+D49</f>
        <v>10582466</v>
      </c>
      <c r="E50" s="47">
        <f t="shared" si="5"/>
        <v>14802271</v>
      </c>
      <c r="F50" s="47">
        <f t="shared" si="5"/>
        <v>2229530</v>
      </c>
      <c r="G50" s="47">
        <f t="shared" si="5"/>
        <v>14833791</v>
      </c>
      <c r="H50" s="47">
        <f t="shared" si="5"/>
        <v>0</v>
      </c>
      <c r="I50" s="47">
        <f t="shared" si="5"/>
        <v>0</v>
      </c>
      <c r="J50" s="47">
        <f t="shared" si="5"/>
        <v>9876119</v>
      </c>
      <c r="K50" s="44">
        <f t="shared" si="0"/>
        <v>140784053</v>
      </c>
      <c r="L50" s="47">
        <f>L48+L49</f>
        <v>9987618</v>
      </c>
      <c r="M50" s="47">
        <f>M48+M49</f>
        <v>696</v>
      </c>
      <c r="N50" s="47">
        <f>N48+N49</f>
        <v>793</v>
      </c>
    </row>
    <row r="51" spans="1:14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5"/>
      <c r="L51" s="114"/>
      <c r="M51" s="114"/>
      <c r="N51" s="116"/>
    </row>
    <row r="52" spans="1:14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7"/>
      <c r="N52" s="116"/>
    </row>
    <row r="53" spans="1:14" ht="12.75">
      <c r="A53" s="178" t="s">
        <v>3</v>
      </c>
      <c r="B53" s="136" t="s">
        <v>49</v>
      </c>
      <c r="C53" s="137" t="s">
        <v>4</v>
      </c>
      <c r="D53" s="137" t="s">
        <v>5</v>
      </c>
      <c r="E53" s="137" t="s">
        <v>6</v>
      </c>
      <c r="F53" s="137" t="s">
        <v>80</v>
      </c>
      <c r="G53" s="137" t="s">
        <v>81</v>
      </c>
      <c r="H53" s="137" t="s">
        <v>7</v>
      </c>
      <c r="I53" s="137" t="s">
        <v>42</v>
      </c>
      <c r="J53" s="137" t="s">
        <v>78</v>
      </c>
      <c r="K53" s="138" t="s">
        <v>155</v>
      </c>
      <c r="L53" s="137" t="s">
        <v>157</v>
      </c>
      <c r="M53" s="137" t="s">
        <v>159</v>
      </c>
      <c r="N53" s="116"/>
    </row>
    <row r="54" spans="1:14" ht="12.75">
      <c r="A54" s="179"/>
      <c r="B54" s="54" t="s">
        <v>50</v>
      </c>
      <c r="C54" s="55" t="s">
        <v>9</v>
      </c>
      <c r="D54" s="55" t="s">
        <v>10</v>
      </c>
      <c r="E54" s="55" t="s">
        <v>11</v>
      </c>
      <c r="F54" s="55" t="s">
        <v>10</v>
      </c>
      <c r="G54" s="55" t="s">
        <v>12</v>
      </c>
      <c r="H54" s="55" t="s">
        <v>13</v>
      </c>
      <c r="I54" s="55" t="s">
        <v>43</v>
      </c>
      <c r="J54" s="55" t="s">
        <v>79</v>
      </c>
      <c r="K54" s="117" t="s">
        <v>156</v>
      </c>
      <c r="L54" s="55" t="s">
        <v>158</v>
      </c>
      <c r="M54" s="55" t="s">
        <v>54</v>
      </c>
      <c r="N54" s="116"/>
    </row>
    <row r="55" spans="1:15" ht="12.75">
      <c r="A55" s="56" t="s">
        <v>63</v>
      </c>
      <c r="B55" s="57">
        <f>IF(A55="","",VLOOKUP(A55,$A$12:$B$50,2,FALSE))</f>
        <v>120</v>
      </c>
      <c r="C55" s="57">
        <v>534033</v>
      </c>
      <c r="D55" s="57">
        <v>90257</v>
      </c>
      <c r="E55" s="57">
        <v>98337</v>
      </c>
      <c r="F55" s="57"/>
      <c r="G55" s="57">
        <v>188569</v>
      </c>
      <c r="H55" s="57"/>
      <c r="I55" s="57"/>
      <c r="J55" s="57">
        <v>41301</v>
      </c>
      <c r="K55" s="118">
        <f>SUM(C55:J55)</f>
        <v>952497</v>
      </c>
      <c r="L55" s="57">
        <v>152228</v>
      </c>
      <c r="M55" s="58">
        <v>14</v>
      </c>
      <c r="N55" s="119"/>
      <c r="O55" s="45"/>
    </row>
    <row r="56" spans="1:15" ht="12.75">
      <c r="A56" s="60" t="s">
        <v>36</v>
      </c>
      <c r="B56" s="61">
        <f>IF(A56="","",VLOOKUP(A56,$A$12:$B$50,2,FALSE))</f>
        <v>87</v>
      </c>
      <c r="C56" s="61"/>
      <c r="D56" s="61"/>
      <c r="E56" s="61"/>
      <c r="F56" s="61"/>
      <c r="G56" s="61"/>
      <c r="H56" s="61"/>
      <c r="I56" s="61"/>
      <c r="J56" s="61">
        <v>-42183</v>
      </c>
      <c r="K56" s="118">
        <f>SUM(C56:J56)</f>
        <v>-42183</v>
      </c>
      <c r="L56" s="61"/>
      <c r="M56" s="62">
        <v>1</v>
      </c>
      <c r="N56" s="119"/>
      <c r="O56" s="45"/>
    </row>
    <row r="58" spans="1:5" ht="12.75">
      <c r="A58" s="63" t="s">
        <v>21</v>
      </c>
      <c r="B58" s="175" t="s">
        <v>209</v>
      </c>
      <c r="C58" s="175"/>
      <c r="D58" s="175"/>
      <c r="E58" s="64"/>
    </row>
    <row r="59" spans="10:11" ht="12.75">
      <c r="J59" s="174" t="s">
        <v>211</v>
      </c>
      <c r="K59" s="174"/>
    </row>
    <row r="60" spans="10:11" ht="12.75">
      <c r="J60" s="173" t="s">
        <v>48</v>
      </c>
      <c r="K60" s="173"/>
    </row>
  </sheetData>
  <sheetProtection/>
  <mergeCells count="14">
    <mergeCell ref="A53:A54"/>
    <mergeCell ref="A52:M52"/>
    <mergeCell ref="K3:L3"/>
    <mergeCell ref="K2:L2"/>
    <mergeCell ref="B58:D58"/>
    <mergeCell ref="J59:K59"/>
    <mergeCell ref="J60:K60"/>
    <mergeCell ref="F5:M5"/>
    <mergeCell ref="A5:D5"/>
    <mergeCell ref="C10:D10"/>
    <mergeCell ref="M9:N9"/>
    <mergeCell ref="M7:M8"/>
    <mergeCell ref="N7:N8"/>
    <mergeCell ref="C7:D7"/>
  </mergeCells>
  <dataValidations count="1">
    <dataValidation type="list" allowBlank="1" showInputMessage="1" showErrorMessage="1" sqref="A55:A56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1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9" ht="12.75">
      <c r="A2" s="3" t="s">
        <v>71</v>
      </c>
      <c r="G2" s="5" t="s">
        <v>0</v>
      </c>
      <c r="H2" s="169" t="s">
        <v>210</v>
      </c>
      <c r="I2" s="170"/>
    </row>
    <row r="3" spans="1:9" ht="12.75">
      <c r="A3" s="3"/>
      <c r="G3" s="5" t="s">
        <v>77</v>
      </c>
      <c r="H3" s="169" t="s">
        <v>208</v>
      </c>
      <c r="I3" s="170"/>
    </row>
    <row r="4" ht="18" customHeight="1">
      <c r="A4" s="6"/>
    </row>
    <row r="5" spans="1:10" ht="18">
      <c r="A5" s="172" t="s">
        <v>85</v>
      </c>
      <c r="B5" s="172"/>
      <c r="C5" s="172"/>
      <c r="D5" s="172"/>
      <c r="E5" s="172"/>
      <c r="F5" s="7" t="s">
        <v>83</v>
      </c>
      <c r="G5" s="171" t="s">
        <v>167</v>
      </c>
      <c r="H5" s="171"/>
      <c r="I5" s="171"/>
      <c r="J5" s="17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21" t="s">
        <v>115</v>
      </c>
      <c r="E7" s="121"/>
      <c r="F7" s="16" t="s">
        <v>107</v>
      </c>
      <c r="G7" s="16" t="s">
        <v>110</v>
      </c>
      <c r="H7" s="16" t="s">
        <v>112</v>
      </c>
      <c r="I7" s="16" t="s">
        <v>112</v>
      </c>
      <c r="J7" s="122" t="s">
        <v>112</v>
      </c>
    </row>
    <row r="8" spans="1:10" ht="12.75">
      <c r="A8" s="123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4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4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7" t="s">
        <v>181</v>
      </c>
      <c r="G10" s="27" t="s">
        <v>183</v>
      </c>
      <c r="H10" s="27" t="s">
        <v>187</v>
      </c>
      <c r="I10" s="27" t="s">
        <v>184</v>
      </c>
      <c r="J10" s="146" t="s">
        <v>182</v>
      </c>
    </row>
    <row r="11" spans="1:10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125"/>
    </row>
    <row r="12" spans="1:15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4">
        <f>SUM(C12:I12)</f>
        <v>0</v>
      </c>
      <c r="K12" s="64"/>
      <c r="L12" s="64"/>
      <c r="M12" s="64"/>
      <c r="N12" s="64"/>
      <c r="O12" s="64"/>
    </row>
    <row r="13" spans="1:15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4">
        <f aca="true" t="shared" si="0" ref="J13:J50">SUM(C13:I13)</f>
        <v>0</v>
      </c>
      <c r="K13" s="64"/>
      <c r="L13" s="64"/>
      <c r="M13" s="64"/>
      <c r="N13" s="64"/>
      <c r="O13" s="64"/>
    </row>
    <row r="14" spans="1:15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4">
        <f t="shared" si="0"/>
        <v>0</v>
      </c>
      <c r="K14" s="64"/>
      <c r="L14" s="64"/>
      <c r="M14" s="64"/>
      <c r="N14" s="64"/>
      <c r="O14" s="64"/>
    </row>
    <row r="15" spans="1:15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4">
        <f t="shared" si="0"/>
        <v>0</v>
      </c>
      <c r="K15" s="64"/>
      <c r="L15" s="64"/>
      <c r="M15" s="64"/>
      <c r="N15" s="64"/>
      <c r="O15" s="64"/>
    </row>
    <row r="16" spans="1:15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4">
        <f t="shared" si="0"/>
        <v>0</v>
      </c>
      <c r="K16" s="64"/>
      <c r="L16" s="64"/>
      <c r="M16" s="64"/>
      <c r="N16" s="64"/>
      <c r="O16" s="64"/>
    </row>
    <row r="17" spans="1:15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4">
        <f t="shared" si="0"/>
        <v>0</v>
      </c>
      <c r="K17" s="64"/>
      <c r="L17" s="64"/>
      <c r="M17" s="64"/>
      <c r="N17" s="64"/>
      <c r="O17" s="64"/>
    </row>
    <row r="18" spans="1:15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4">
        <f t="shared" si="0"/>
        <v>0</v>
      </c>
      <c r="K18" s="64"/>
      <c r="L18" s="64"/>
      <c r="M18" s="64"/>
      <c r="N18" s="64"/>
      <c r="O18" s="64"/>
    </row>
    <row r="19" spans="1:15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4">
        <f t="shared" si="0"/>
        <v>0</v>
      </c>
      <c r="K19" s="64"/>
      <c r="L19" s="64"/>
      <c r="M19" s="64"/>
      <c r="N19" s="64"/>
      <c r="O19" s="64"/>
    </row>
    <row r="20" spans="1:15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4">
        <f t="shared" si="0"/>
        <v>0</v>
      </c>
      <c r="K20" s="64"/>
      <c r="L20" s="64"/>
      <c r="M20" s="64"/>
      <c r="N20" s="64"/>
      <c r="O20" s="64"/>
    </row>
    <row r="21" spans="1:15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4">
        <f t="shared" si="0"/>
        <v>0</v>
      </c>
      <c r="K21" s="64"/>
      <c r="L21" s="64"/>
      <c r="M21" s="64"/>
      <c r="N21" s="64"/>
      <c r="O21" s="64"/>
    </row>
    <row r="22" spans="1:18" s="45" customFormat="1" ht="12.75" customHeight="1">
      <c r="A22" s="41" t="s">
        <v>38</v>
      </c>
      <c r="B22" s="42">
        <v>81</v>
      </c>
      <c r="C22" s="163">
        <f>97546+18292+2034</f>
        <v>117872</v>
      </c>
      <c r="D22" s="43"/>
      <c r="E22" s="163">
        <v>12194</v>
      </c>
      <c r="F22" s="163">
        <v>7800</v>
      </c>
      <c r="G22" s="43"/>
      <c r="H22" s="43"/>
      <c r="I22" s="43"/>
      <c r="J22" s="44">
        <f t="shared" si="0"/>
        <v>137866</v>
      </c>
      <c r="K22" s="64"/>
      <c r="L22" s="64"/>
      <c r="M22" s="64"/>
      <c r="N22" s="64"/>
      <c r="O22" s="64"/>
      <c r="P22" s="2"/>
      <c r="Q22" s="2"/>
      <c r="R22" s="2"/>
    </row>
    <row r="23" spans="1:15" ht="12.75">
      <c r="A23" s="41" t="s">
        <v>39</v>
      </c>
      <c r="B23" s="42">
        <v>82</v>
      </c>
      <c r="C23" s="163">
        <f>30009+5627+625</f>
        <v>36261</v>
      </c>
      <c r="D23" s="43"/>
      <c r="E23" s="163">
        <v>3752</v>
      </c>
      <c r="F23" s="163">
        <v>1950</v>
      </c>
      <c r="G23" s="43"/>
      <c r="H23" s="43"/>
      <c r="I23" s="43"/>
      <c r="J23" s="44">
        <f t="shared" si="0"/>
        <v>41963</v>
      </c>
      <c r="K23" s="64"/>
      <c r="L23" s="64"/>
      <c r="M23" s="64"/>
      <c r="N23" s="64"/>
      <c r="O23" s="64"/>
    </row>
    <row r="24" spans="1:15" ht="12.75">
      <c r="A24" s="41" t="s">
        <v>32</v>
      </c>
      <c r="B24" s="42">
        <v>83</v>
      </c>
      <c r="C24" s="163">
        <f>171447+32149+3572</f>
        <v>207168</v>
      </c>
      <c r="D24" s="43"/>
      <c r="E24" s="163">
        <v>21432</v>
      </c>
      <c r="F24" s="163">
        <v>9750</v>
      </c>
      <c r="G24" s="43"/>
      <c r="H24" s="43"/>
      <c r="I24" s="43"/>
      <c r="J24" s="44">
        <f t="shared" si="0"/>
        <v>238350</v>
      </c>
      <c r="K24" s="64"/>
      <c r="L24" s="64"/>
      <c r="M24" s="64"/>
      <c r="N24" s="64"/>
      <c r="O24" s="64"/>
    </row>
    <row r="25" spans="1:15" ht="12.75">
      <c r="A25" s="41" t="s">
        <v>33</v>
      </c>
      <c r="B25" s="42">
        <v>84</v>
      </c>
      <c r="C25" s="163">
        <f>1507968+273729+30423</f>
        <v>1812120</v>
      </c>
      <c r="D25" s="43"/>
      <c r="E25" s="163">
        <v>176493</v>
      </c>
      <c r="F25" s="163">
        <v>78325</v>
      </c>
      <c r="G25" s="163"/>
      <c r="H25" s="43"/>
      <c r="I25" s="43"/>
      <c r="J25" s="44">
        <f t="shared" si="0"/>
        <v>2066938</v>
      </c>
      <c r="K25" s="64"/>
      <c r="L25" s="64"/>
      <c r="M25" s="64"/>
      <c r="N25" s="64"/>
      <c r="O25" s="64"/>
    </row>
    <row r="26" spans="1:15" ht="12.75">
      <c r="A26" s="41" t="s">
        <v>34</v>
      </c>
      <c r="B26" s="42">
        <v>85</v>
      </c>
      <c r="C26" s="163">
        <f>202018+34279+3810</f>
        <v>240107</v>
      </c>
      <c r="D26" s="43"/>
      <c r="E26" s="163">
        <v>20453</v>
      </c>
      <c r="F26" s="163">
        <v>5850</v>
      </c>
      <c r="G26" s="43"/>
      <c r="H26" s="43"/>
      <c r="I26" s="43"/>
      <c r="J26" s="44">
        <f t="shared" si="0"/>
        <v>266410</v>
      </c>
      <c r="K26" s="64"/>
      <c r="L26" s="64"/>
      <c r="M26" s="64"/>
      <c r="N26" s="64"/>
      <c r="O26" s="64"/>
    </row>
    <row r="27" spans="1:15" ht="12.75">
      <c r="A27" s="41" t="s">
        <v>35</v>
      </c>
      <c r="B27" s="42">
        <v>86</v>
      </c>
      <c r="C27" s="163">
        <f>407574+72821+8093</f>
        <v>488488</v>
      </c>
      <c r="D27" s="43"/>
      <c r="E27" s="163">
        <v>46148</v>
      </c>
      <c r="F27" s="163">
        <v>11700</v>
      </c>
      <c r="G27" s="43"/>
      <c r="H27" s="43"/>
      <c r="I27" s="43"/>
      <c r="J27" s="44">
        <f t="shared" si="0"/>
        <v>546336</v>
      </c>
      <c r="K27" s="64"/>
      <c r="L27" s="64"/>
      <c r="M27" s="64"/>
      <c r="N27" s="64"/>
      <c r="O27" s="64"/>
    </row>
    <row r="28" spans="1:15" ht="12.75">
      <c r="A28" s="41" t="s">
        <v>36</v>
      </c>
      <c r="B28" s="42">
        <v>87</v>
      </c>
      <c r="C28" s="163">
        <f>62336+12797+1422</f>
        <v>76555</v>
      </c>
      <c r="D28" s="43"/>
      <c r="E28" s="163">
        <v>9270</v>
      </c>
      <c r="F28" s="163">
        <v>1950</v>
      </c>
      <c r="G28" s="43"/>
      <c r="H28" s="43"/>
      <c r="I28" s="43"/>
      <c r="J28" s="44">
        <f t="shared" si="0"/>
        <v>87775</v>
      </c>
      <c r="K28" s="64"/>
      <c r="L28" s="64"/>
      <c r="M28" s="64"/>
      <c r="N28" s="64"/>
      <c r="O28" s="64"/>
    </row>
    <row r="29" spans="1:15" ht="12.75">
      <c r="A29" s="41" t="s">
        <v>37</v>
      </c>
      <c r="B29" s="42">
        <v>88</v>
      </c>
      <c r="C29" s="163">
        <f>154332+28937+3216</f>
        <v>186485</v>
      </c>
      <c r="D29" s="43"/>
      <c r="E29" s="163">
        <v>19292</v>
      </c>
      <c r="F29" s="163">
        <v>3900</v>
      </c>
      <c r="G29" s="43"/>
      <c r="H29" s="43"/>
      <c r="I29" s="43"/>
      <c r="J29" s="44">
        <f t="shared" si="0"/>
        <v>209677</v>
      </c>
      <c r="K29" s="64"/>
      <c r="L29" s="64"/>
      <c r="M29" s="64"/>
      <c r="N29" s="64"/>
      <c r="O29" s="64"/>
    </row>
    <row r="30" spans="1:15" ht="12.75">
      <c r="A30" s="41" t="s">
        <v>40</v>
      </c>
      <c r="B30" s="42">
        <v>89</v>
      </c>
      <c r="C30" s="163">
        <f>366680+68754+7641</f>
        <v>443075</v>
      </c>
      <c r="D30" s="43"/>
      <c r="E30" s="163">
        <v>45836</v>
      </c>
      <c r="F30" s="163">
        <v>7800</v>
      </c>
      <c r="G30" s="43"/>
      <c r="H30" s="43"/>
      <c r="I30" s="43"/>
      <c r="J30" s="44">
        <f t="shared" si="0"/>
        <v>496711</v>
      </c>
      <c r="K30" s="64"/>
      <c r="L30" s="64"/>
      <c r="M30" s="64"/>
      <c r="N30" s="64"/>
      <c r="O30" s="64"/>
    </row>
    <row r="31" spans="1:15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4">
        <f t="shared" si="0"/>
        <v>0</v>
      </c>
      <c r="K31" s="64"/>
      <c r="L31" s="64"/>
      <c r="M31" s="64"/>
      <c r="N31" s="64"/>
      <c r="O31" s="64"/>
    </row>
    <row r="32" spans="1:15" s="48" customFormat="1" ht="12.75">
      <c r="A32" s="46" t="s">
        <v>73</v>
      </c>
      <c r="B32" s="42">
        <v>92</v>
      </c>
      <c r="C32" s="47">
        <f aca="true" t="shared" si="1" ref="C32:I32">SUM(C12:C31)</f>
        <v>3608131</v>
      </c>
      <c r="D32" s="47">
        <f>SUM(D12:D31)</f>
        <v>0</v>
      </c>
      <c r="E32" s="47">
        <f t="shared" si="1"/>
        <v>354870</v>
      </c>
      <c r="F32" s="47">
        <f t="shared" si="1"/>
        <v>129025</v>
      </c>
      <c r="G32" s="47">
        <v>20401</v>
      </c>
      <c r="H32" s="47">
        <f t="shared" si="1"/>
        <v>0</v>
      </c>
      <c r="I32" s="47">
        <f t="shared" si="1"/>
        <v>0</v>
      </c>
      <c r="J32" s="44">
        <f t="shared" si="0"/>
        <v>4112427</v>
      </c>
      <c r="K32" s="126"/>
      <c r="L32" s="126"/>
      <c r="M32" s="126"/>
      <c r="N32" s="126"/>
      <c r="O32" s="126"/>
    </row>
    <row r="33" spans="1:15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4">
        <f t="shared" si="0"/>
        <v>0</v>
      </c>
      <c r="K33" s="64"/>
      <c r="L33" s="64"/>
      <c r="M33" s="64"/>
      <c r="N33" s="64"/>
      <c r="O33" s="64"/>
    </row>
    <row r="34" spans="1:15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4">
        <f t="shared" si="0"/>
        <v>0</v>
      </c>
      <c r="K34" s="64"/>
      <c r="L34" s="64"/>
      <c r="M34" s="64"/>
      <c r="N34" s="64"/>
      <c r="O34" s="64"/>
    </row>
    <row r="35" spans="1:15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4">
        <f t="shared" si="0"/>
        <v>0</v>
      </c>
      <c r="K35" s="64"/>
      <c r="L35" s="64"/>
      <c r="M35" s="64"/>
      <c r="N35" s="64"/>
      <c r="O35" s="64"/>
    </row>
    <row r="36" spans="1:15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4">
        <f t="shared" si="0"/>
        <v>0</v>
      </c>
      <c r="K36" s="64"/>
      <c r="L36" s="64"/>
      <c r="M36" s="64"/>
      <c r="N36" s="64"/>
      <c r="O36" s="64"/>
    </row>
    <row r="37" spans="1:15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4">
        <f t="shared" si="0"/>
        <v>0</v>
      </c>
      <c r="K37" s="64"/>
      <c r="L37" s="64"/>
      <c r="M37" s="64"/>
      <c r="N37" s="64"/>
      <c r="O37" s="64"/>
    </row>
    <row r="38" spans="1:15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4">
        <f t="shared" si="0"/>
        <v>0</v>
      </c>
      <c r="K38" s="64"/>
      <c r="L38" s="64"/>
      <c r="M38" s="64"/>
      <c r="N38" s="64"/>
      <c r="O38" s="64"/>
    </row>
    <row r="39" spans="1:15" s="48" customFormat="1" ht="12.75">
      <c r="A39" s="46" t="s">
        <v>72</v>
      </c>
      <c r="B39" s="42">
        <v>110</v>
      </c>
      <c r="C39" s="47">
        <f aca="true" t="shared" si="2" ref="C39:I39">SUM(C33:C38)</f>
        <v>0</v>
      </c>
      <c r="D39" s="47">
        <f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4">
        <f t="shared" si="0"/>
        <v>0</v>
      </c>
      <c r="K39" s="126"/>
      <c r="L39" s="126"/>
      <c r="M39" s="126"/>
      <c r="N39" s="126"/>
      <c r="O39" s="126"/>
    </row>
    <row r="40" spans="1:15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4">
        <f t="shared" si="0"/>
        <v>0</v>
      </c>
      <c r="K40" s="64"/>
      <c r="L40" s="64"/>
      <c r="M40" s="64"/>
      <c r="N40" s="64"/>
      <c r="O40" s="64"/>
    </row>
    <row r="41" spans="1:15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4">
        <f t="shared" si="0"/>
        <v>0</v>
      </c>
      <c r="K41" s="64"/>
      <c r="L41" s="64"/>
      <c r="M41" s="64"/>
      <c r="N41" s="64"/>
      <c r="O41" s="64"/>
    </row>
    <row r="42" spans="1:15" ht="12.75">
      <c r="A42" s="50" t="s">
        <v>59</v>
      </c>
      <c r="B42" s="42">
        <v>113</v>
      </c>
      <c r="C42" s="163">
        <f>149228+27980+3109</f>
        <v>180317</v>
      </c>
      <c r="D42" s="43"/>
      <c r="E42" s="163">
        <v>18654</v>
      </c>
      <c r="F42" s="163">
        <v>1950</v>
      </c>
      <c r="G42" s="43"/>
      <c r="H42" s="43"/>
      <c r="I42" s="43"/>
      <c r="J42" s="44">
        <f t="shared" si="0"/>
        <v>200921</v>
      </c>
      <c r="K42" s="64"/>
      <c r="L42" s="64"/>
      <c r="M42" s="64"/>
      <c r="N42" s="64"/>
      <c r="O42" s="64"/>
    </row>
    <row r="43" spans="1:15" ht="12.75">
      <c r="A43" s="50" t="s">
        <v>60</v>
      </c>
      <c r="B43" s="42">
        <v>114</v>
      </c>
      <c r="C43" s="163">
        <f>1167762+158444+17605</f>
        <v>1343811</v>
      </c>
      <c r="D43" s="43"/>
      <c r="E43" s="163">
        <v>65292</v>
      </c>
      <c r="F43" s="163">
        <v>7800</v>
      </c>
      <c r="G43" s="43"/>
      <c r="H43" s="43"/>
      <c r="I43" s="43"/>
      <c r="J43" s="44">
        <f t="shared" si="0"/>
        <v>1416903</v>
      </c>
      <c r="K43" s="64"/>
      <c r="L43" s="64"/>
      <c r="M43" s="64"/>
      <c r="N43" s="64"/>
      <c r="O43" s="64"/>
    </row>
    <row r="44" spans="1:15" ht="12.75">
      <c r="A44" s="50" t="s">
        <v>61</v>
      </c>
      <c r="B44" s="42">
        <v>115</v>
      </c>
      <c r="C44" s="163">
        <f>2075327+384624+42740</f>
        <v>2502691</v>
      </c>
      <c r="D44" s="43"/>
      <c r="E44" s="163">
        <v>251018</v>
      </c>
      <c r="F44" s="163">
        <v>32435</v>
      </c>
      <c r="G44" s="43"/>
      <c r="H44" s="43"/>
      <c r="I44" s="43"/>
      <c r="J44" s="44">
        <f t="shared" si="0"/>
        <v>2786144</v>
      </c>
      <c r="K44" s="64"/>
      <c r="L44" s="64"/>
      <c r="M44" s="64"/>
      <c r="N44" s="64"/>
      <c r="O44" s="64"/>
    </row>
    <row r="45" spans="1:15" ht="12.75">
      <c r="A45" s="50" t="s">
        <v>62</v>
      </c>
      <c r="B45" s="42">
        <v>119</v>
      </c>
      <c r="C45" s="163">
        <f>6364290+1154055+128229</f>
        <v>7646574</v>
      </c>
      <c r="D45" s="43"/>
      <c r="E45" s="163">
        <v>743605</v>
      </c>
      <c r="F45" s="163">
        <v>127985</v>
      </c>
      <c r="G45" s="43"/>
      <c r="H45" s="43"/>
      <c r="I45" s="43"/>
      <c r="J45" s="44">
        <f t="shared" si="0"/>
        <v>8518164</v>
      </c>
      <c r="K45" s="64"/>
      <c r="L45" s="64"/>
      <c r="M45" s="64"/>
      <c r="N45" s="64"/>
      <c r="O45" s="64"/>
    </row>
    <row r="46" spans="1:15" ht="12.75">
      <c r="A46" s="50" t="s">
        <v>63</v>
      </c>
      <c r="B46" s="42">
        <v>120</v>
      </c>
      <c r="C46" s="163">
        <f>25107618+4590836+518783</f>
        <v>30217237</v>
      </c>
      <c r="D46" s="43"/>
      <c r="E46" s="163">
        <v>2988002</v>
      </c>
      <c r="F46" s="163">
        <v>931738</v>
      </c>
      <c r="G46" s="43"/>
      <c r="H46" s="43"/>
      <c r="I46" s="43"/>
      <c r="J46" s="44">
        <f t="shared" si="0"/>
        <v>34136977</v>
      </c>
      <c r="K46" s="64"/>
      <c r="L46" s="64"/>
      <c r="M46" s="64"/>
      <c r="N46" s="64"/>
      <c r="O46" s="64"/>
    </row>
    <row r="47" spans="1:15" s="48" customFormat="1" ht="12.75">
      <c r="A47" s="46" t="s">
        <v>74</v>
      </c>
      <c r="B47" s="47">
        <v>121</v>
      </c>
      <c r="C47" s="47">
        <f aca="true" t="shared" si="3" ref="C47:I47">SUM(C40:C46)</f>
        <v>41890630</v>
      </c>
      <c r="D47" s="47">
        <f>SUM(D40:D46)</f>
        <v>0</v>
      </c>
      <c r="E47" s="47">
        <f t="shared" si="3"/>
        <v>4066571</v>
      </c>
      <c r="F47" s="47">
        <f t="shared" si="3"/>
        <v>1101908</v>
      </c>
      <c r="G47" s="47">
        <v>873100</v>
      </c>
      <c r="H47" s="47">
        <f t="shared" si="3"/>
        <v>0</v>
      </c>
      <c r="I47" s="47">
        <f t="shared" si="3"/>
        <v>0</v>
      </c>
      <c r="J47" s="44">
        <f t="shared" si="0"/>
        <v>47932209</v>
      </c>
      <c r="K47" s="126"/>
      <c r="L47" s="126"/>
      <c r="M47" s="126"/>
      <c r="N47" s="126"/>
      <c r="O47" s="126"/>
    </row>
    <row r="48" spans="1:15" s="48" customFormat="1" ht="12.75">
      <c r="A48" s="46" t="s">
        <v>119</v>
      </c>
      <c r="B48" s="47">
        <v>152</v>
      </c>
      <c r="C48" s="47">
        <f aca="true" t="shared" si="4" ref="C48:I48">C32+C39+C47</f>
        <v>45498761</v>
      </c>
      <c r="D48" s="47">
        <f>D32+D39+D47</f>
        <v>0</v>
      </c>
      <c r="E48" s="47">
        <f t="shared" si="4"/>
        <v>4421441</v>
      </c>
      <c r="F48" s="47">
        <f t="shared" si="4"/>
        <v>1230933</v>
      </c>
      <c r="G48" s="47">
        <f t="shared" si="4"/>
        <v>893501</v>
      </c>
      <c r="H48" s="47">
        <f t="shared" si="4"/>
        <v>0</v>
      </c>
      <c r="I48" s="47">
        <f t="shared" si="4"/>
        <v>0</v>
      </c>
      <c r="J48" s="44">
        <f t="shared" si="0"/>
        <v>52044636</v>
      </c>
      <c r="K48" s="126"/>
      <c r="L48" s="126"/>
      <c r="M48" s="126"/>
      <c r="N48" s="126"/>
      <c r="O48" s="126"/>
    </row>
    <row r="49" spans="1:15" s="48" customFormat="1" ht="12.75">
      <c r="A49" s="46" t="s">
        <v>51</v>
      </c>
      <c r="B49" s="47">
        <v>158</v>
      </c>
      <c r="C49" s="166">
        <f>155918+25635+2849</f>
        <v>184402</v>
      </c>
      <c r="D49" s="51"/>
      <c r="E49" s="163">
        <v>14690</v>
      </c>
      <c r="F49" s="163">
        <v>2438</v>
      </c>
      <c r="G49" s="51"/>
      <c r="H49" s="51"/>
      <c r="I49" s="51"/>
      <c r="J49" s="44">
        <f t="shared" si="0"/>
        <v>201530</v>
      </c>
      <c r="K49" s="126"/>
      <c r="L49" s="126"/>
      <c r="M49" s="126"/>
      <c r="N49" s="126"/>
      <c r="O49" s="126"/>
    </row>
    <row r="50" spans="1:15" s="48" customFormat="1" ht="12.75">
      <c r="A50" s="46" t="s">
        <v>75</v>
      </c>
      <c r="B50" s="47">
        <v>159</v>
      </c>
      <c r="C50" s="47">
        <f aca="true" t="shared" si="5" ref="C50:I50">C48+C49</f>
        <v>45683163</v>
      </c>
      <c r="D50" s="47">
        <f>D48+D49</f>
        <v>0</v>
      </c>
      <c r="E50" s="47">
        <f t="shared" si="5"/>
        <v>4436131</v>
      </c>
      <c r="F50" s="47">
        <f t="shared" si="5"/>
        <v>1233371</v>
      </c>
      <c r="G50" s="47">
        <v>893501</v>
      </c>
      <c r="H50" s="47">
        <f t="shared" si="5"/>
        <v>0</v>
      </c>
      <c r="I50" s="47">
        <f t="shared" si="5"/>
        <v>0</v>
      </c>
      <c r="J50" s="44">
        <f t="shared" si="0"/>
        <v>52246166</v>
      </c>
      <c r="K50" s="126"/>
      <c r="L50" s="126"/>
      <c r="M50" s="126"/>
      <c r="N50" s="126"/>
      <c r="O50" s="126"/>
    </row>
    <row r="51" spans="1:14" s="48" customFormat="1" ht="12.75">
      <c r="A51" s="113"/>
      <c r="B51" s="114"/>
      <c r="C51" s="114"/>
      <c r="D51" s="114"/>
      <c r="E51" s="114"/>
      <c r="F51" s="114"/>
      <c r="G51" s="114"/>
      <c r="H51" s="114"/>
      <c r="I51" s="114"/>
      <c r="J51" s="115"/>
      <c r="K51" s="52"/>
      <c r="L51" s="52"/>
      <c r="M51" s="52"/>
      <c r="N51" s="52"/>
    </row>
    <row r="52" spans="1:14" s="48" customFormat="1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39"/>
      <c r="N52" s="135"/>
    </row>
    <row r="53" spans="1:14" s="48" customFormat="1" ht="12.75">
      <c r="A53" s="178" t="s">
        <v>3</v>
      </c>
      <c r="B53" s="136" t="s">
        <v>49</v>
      </c>
      <c r="C53" s="137" t="s">
        <v>188</v>
      </c>
      <c r="D53" s="137" t="s">
        <v>189</v>
      </c>
      <c r="E53" s="137" t="s">
        <v>106</v>
      </c>
      <c r="F53" s="137" t="s">
        <v>190</v>
      </c>
      <c r="G53" s="137" t="s">
        <v>191</v>
      </c>
      <c r="H53" s="137" t="s">
        <v>192</v>
      </c>
      <c r="I53" s="137" t="s">
        <v>192</v>
      </c>
      <c r="J53" s="137" t="s">
        <v>192</v>
      </c>
      <c r="K53" s="191" t="s">
        <v>160</v>
      </c>
      <c r="L53" s="192"/>
      <c r="M53" s="127"/>
      <c r="N53" s="128"/>
    </row>
    <row r="54" spans="1:14" s="48" customFormat="1" ht="12.75">
      <c r="A54" s="179"/>
      <c r="B54" s="54" t="s">
        <v>50</v>
      </c>
      <c r="C54" s="55" t="s">
        <v>105</v>
      </c>
      <c r="D54" s="55" t="s">
        <v>105</v>
      </c>
      <c r="E54" s="55" t="s">
        <v>105</v>
      </c>
      <c r="F54" s="55" t="s">
        <v>109</v>
      </c>
      <c r="G54" s="55" t="s">
        <v>109</v>
      </c>
      <c r="H54" s="55" t="s">
        <v>193</v>
      </c>
      <c r="I54" s="55" t="s">
        <v>194</v>
      </c>
      <c r="J54" s="117" t="s">
        <v>114</v>
      </c>
      <c r="K54" s="54" t="s">
        <v>162</v>
      </c>
      <c r="L54" s="129" t="s">
        <v>161</v>
      </c>
      <c r="M54" s="127"/>
      <c r="N54" s="128"/>
    </row>
    <row r="55" spans="1:16" s="48" customFormat="1" ht="12.75">
      <c r="A55" s="56" t="s">
        <v>63</v>
      </c>
      <c r="B55" s="57">
        <f>IF(A55="","",VLOOKUP(A55,$A$12:$B$50,2,FALSE))</f>
        <v>120</v>
      </c>
      <c r="C55" s="57">
        <v>538841</v>
      </c>
      <c r="D55" s="57"/>
      <c r="E55" s="57">
        <v>32822</v>
      </c>
      <c r="F55" s="57">
        <v>10652</v>
      </c>
      <c r="G55" s="57"/>
      <c r="H55" s="57"/>
      <c r="I55" s="57"/>
      <c r="J55" s="130">
        <f>SUM(C55:I55)</f>
        <v>582315</v>
      </c>
      <c r="K55" s="57"/>
      <c r="L55" s="58"/>
      <c r="M55" s="131"/>
      <c r="N55" s="114"/>
      <c r="O55" s="116"/>
      <c r="P55" s="132"/>
    </row>
    <row r="56" spans="1:16" s="48" customFormat="1" ht="12.75">
      <c r="A56" s="60" t="s">
        <v>36</v>
      </c>
      <c r="B56" s="61">
        <f>IF(A56="","",VLOOKUP(A56,$A$12:$B$50,2,FALSE))</f>
        <v>87</v>
      </c>
      <c r="C56" s="61">
        <v>-25291</v>
      </c>
      <c r="D56" s="61"/>
      <c r="E56" s="61">
        <v>-1266</v>
      </c>
      <c r="F56" s="61">
        <v>0</v>
      </c>
      <c r="G56" s="61"/>
      <c r="H56" s="61"/>
      <c r="I56" s="61"/>
      <c r="J56" s="130">
        <f>SUM(C56:I56)</f>
        <v>-26557</v>
      </c>
      <c r="K56" s="61"/>
      <c r="L56" s="62"/>
      <c r="M56" s="131"/>
      <c r="N56" s="114"/>
      <c r="O56" s="116"/>
      <c r="P56" s="132"/>
    </row>
    <row r="58" spans="1:6" ht="12.75">
      <c r="A58" s="63" t="s">
        <v>21</v>
      </c>
      <c r="B58" s="175" t="s">
        <v>209</v>
      </c>
      <c r="C58" s="175"/>
      <c r="D58" s="175"/>
      <c r="E58" s="175"/>
      <c r="F58" s="64"/>
    </row>
    <row r="59" spans="8:9" ht="12.75">
      <c r="H59" s="174" t="s">
        <v>211</v>
      </c>
      <c r="I59" s="174"/>
    </row>
    <row r="60" spans="8:9" ht="12.75">
      <c r="H60" s="173" t="s">
        <v>48</v>
      </c>
      <c r="I60" s="173"/>
    </row>
  </sheetData>
  <sheetProtection/>
  <mergeCells count="10">
    <mergeCell ref="B58:E58"/>
    <mergeCell ref="H59:I59"/>
    <mergeCell ref="H60:I60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6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0.25" customHeight="1">
      <c r="A1" s="1" t="str">
        <f>'01'!A1</f>
        <v>Fővárosi Büntetés-végrehajtási Intézet</v>
      </c>
    </row>
    <row r="2" spans="1:12" ht="42" customHeight="1">
      <c r="A2" s="3" t="s">
        <v>71</v>
      </c>
      <c r="H2" s="4"/>
      <c r="I2" s="4"/>
      <c r="J2" s="5" t="s">
        <v>0</v>
      </c>
      <c r="K2" s="198" t="s">
        <v>212</v>
      </c>
      <c r="L2" s="170"/>
    </row>
    <row r="3" spans="1:12" ht="12.75">
      <c r="A3" s="3"/>
      <c r="H3" s="4"/>
      <c r="I3" s="4"/>
      <c r="J3" s="5" t="s">
        <v>77</v>
      </c>
      <c r="K3" s="169" t="s">
        <v>208</v>
      </c>
      <c r="L3" s="170"/>
    </row>
    <row r="4" ht="18" customHeight="1">
      <c r="A4" s="6"/>
    </row>
    <row r="5" spans="1:13" ht="18">
      <c r="A5" s="172" t="s">
        <v>82</v>
      </c>
      <c r="B5" s="172"/>
      <c r="C5" s="172"/>
      <c r="D5" s="172"/>
      <c r="E5" s="7" t="s">
        <v>83</v>
      </c>
      <c r="F5" s="171" t="s">
        <v>91</v>
      </c>
      <c r="G5" s="171"/>
      <c r="H5" s="171"/>
      <c r="I5" s="171"/>
      <c r="J5" s="171"/>
      <c r="K5" s="171"/>
      <c r="L5" s="171"/>
      <c r="M5" s="17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5" t="s">
        <v>121</v>
      </c>
      <c r="N7" s="196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9" t="s">
        <v>122</v>
      </c>
      <c r="N9" s="190"/>
    </row>
    <row r="10" spans="1:14" ht="13.5" thickBot="1">
      <c r="A10" s="25"/>
      <c r="B10" s="26"/>
      <c r="C10" s="176" t="s">
        <v>101</v>
      </c>
      <c r="D10" s="177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32"/>
      <c r="N10" s="33"/>
    </row>
    <row r="11" spans="1:14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9"/>
    </row>
    <row r="12" spans="1:14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3"/>
      <c r="K12" s="44">
        <f>SUM(C12:J12)</f>
        <v>0</v>
      </c>
      <c r="L12" s="43"/>
      <c r="M12" s="43"/>
      <c r="N12" s="43"/>
    </row>
    <row r="13" spans="1:14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3"/>
      <c r="K13" s="44">
        <f aca="true" t="shared" si="0" ref="K13:K50">SUM(C13:J13)</f>
        <v>0</v>
      </c>
      <c r="L13" s="43"/>
      <c r="M13" s="43"/>
      <c r="N13" s="43"/>
    </row>
    <row r="14" spans="1:14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3"/>
      <c r="K14" s="44">
        <f t="shared" si="0"/>
        <v>0</v>
      </c>
      <c r="L14" s="43"/>
      <c r="M14" s="43"/>
      <c r="N14" s="43"/>
    </row>
    <row r="15" spans="1:14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3"/>
      <c r="K15" s="44">
        <f t="shared" si="0"/>
        <v>0</v>
      </c>
      <c r="L15" s="43"/>
      <c r="M15" s="43"/>
      <c r="N15" s="43"/>
    </row>
    <row r="16" spans="1:14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3"/>
      <c r="K16" s="44">
        <f t="shared" si="0"/>
        <v>0</v>
      </c>
      <c r="L16" s="43"/>
      <c r="M16" s="43"/>
      <c r="N16" s="43"/>
    </row>
    <row r="17" spans="1:14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3"/>
      <c r="K17" s="44">
        <f t="shared" si="0"/>
        <v>0</v>
      </c>
      <c r="L17" s="43"/>
      <c r="M17" s="43"/>
      <c r="N17" s="43"/>
    </row>
    <row r="18" spans="1:14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3"/>
      <c r="K18" s="44">
        <f t="shared" si="0"/>
        <v>0</v>
      </c>
      <c r="L18" s="43"/>
      <c r="M18" s="43"/>
      <c r="N18" s="43"/>
    </row>
    <row r="19" spans="1:14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3"/>
      <c r="K19" s="44">
        <f t="shared" si="0"/>
        <v>0</v>
      </c>
      <c r="L19" s="43"/>
      <c r="M19" s="43"/>
      <c r="N19" s="43"/>
    </row>
    <row r="20" spans="1:14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3"/>
      <c r="K20" s="44">
        <f t="shared" si="0"/>
        <v>0</v>
      </c>
      <c r="L20" s="43"/>
      <c r="M20" s="43"/>
      <c r="N20" s="43"/>
    </row>
    <row r="21" spans="1:14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3"/>
      <c r="K21" s="44">
        <f t="shared" si="0"/>
        <v>0</v>
      </c>
      <c r="L21" s="43"/>
      <c r="M21" s="43"/>
      <c r="N21" s="43"/>
    </row>
    <row r="22" spans="1:21" s="45" customFormat="1" ht="12.75" customHeight="1">
      <c r="A22" s="41" t="s">
        <v>38</v>
      </c>
      <c r="B22" s="42">
        <v>81</v>
      </c>
      <c r="C22" s="43">
        <v>501400</v>
      </c>
      <c r="D22" s="43"/>
      <c r="E22" s="43"/>
      <c r="F22" s="43"/>
      <c r="G22" s="43"/>
      <c r="H22" s="43"/>
      <c r="I22" s="43"/>
      <c r="J22" s="43">
        <v>34209</v>
      </c>
      <c r="K22" s="44">
        <f t="shared" si="0"/>
        <v>535609</v>
      </c>
      <c r="L22" s="43"/>
      <c r="M22" s="43">
        <v>5</v>
      </c>
      <c r="N22" s="43">
        <v>5</v>
      </c>
      <c r="O22" s="2"/>
      <c r="P22" s="2"/>
      <c r="Q22" s="2"/>
      <c r="R22" s="2"/>
      <c r="S22" s="2"/>
      <c r="T22" s="2"/>
      <c r="U22" s="2"/>
    </row>
    <row r="23" spans="1:14" ht="12.75">
      <c r="A23" s="41" t="s">
        <v>39</v>
      </c>
      <c r="B23" s="42">
        <v>82</v>
      </c>
      <c r="C23" s="43">
        <v>115420</v>
      </c>
      <c r="D23" s="43"/>
      <c r="E23" s="43"/>
      <c r="F23" s="43"/>
      <c r="G23" s="43"/>
      <c r="H23" s="43"/>
      <c r="I23" s="43"/>
      <c r="J23" s="43">
        <v>9618</v>
      </c>
      <c r="K23" s="44">
        <f t="shared" si="0"/>
        <v>125038</v>
      </c>
      <c r="L23" s="43"/>
      <c r="M23" s="43">
        <v>1</v>
      </c>
      <c r="N23" s="43">
        <v>0</v>
      </c>
    </row>
    <row r="24" spans="1:14" ht="12.75">
      <c r="A24" s="41" t="s">
        <v>32</v>
      </c>
      <c r="B24" s="42">
        <v>83</v>
      </c>
      <c r="C24" s="43">
        <v>460999</v>
      </c>
      <c r="D24" s="43"/>
      <c r="E24" s="43"/>
      <c r="F24" s="43"/>
      <c r="G24" s="43">
        <v>26967</v>
      </c>
      <c r="H24" s="43"/>
      <c r="I24" s="43"/>
      <c r="J24" s="43">
        <v>42405</v>
      </c>
      <c r="K24" s="44">
        <f t="shared" si="0"/>
        <v>530371</v>
      </c>
      <c r="L24" s="43"/>
      <c r="M24" s="43">
        <v>4</v>
      </c>
      <c r="N24" s="43">
        <v>5</v>
      </c>
    </row>
    <row r="25" spans="1:14" ht="12.75">
      <c r="A25" s="41" t="s">
        <v>33</v>
      </c>
      <c r="B25" s="42">
        <v>84</v>
      </c>
      <c r="C25" s="43">
        <v>4899966</v>
      </c>
      <c r="D25" s="43"/>
      <c r="E25" s="43"/>
      <c r="F25" s="43"/>
      <c r="G25" s="43">
        <v>339164</v>
      </c>
      <c r="H25" s="43"/>
      <c r="I25" s="43"/>
      <c r="J25" s="43">
        <v>396219</v>
      </c>
      <c r="K25" s="44">
        <f t="shared" si="0"/>
        <v>5635349</v>
      </c>
      <c r="L25" s="43">
        <v>49618</v>
      </c>
      <c r="M25" s="43">
        <v>42</v>
      </c>
      <c r="N25" s="43">
        <v>31</v>
      </c>
    </row>
    <row r="26" spans="1:14" ht="12.75">
      <c r="A26" s="41" t="s">
        <v>34</v>
      </c>
      <c r="B26" s="42">
        <v>85</v>
      </c>
      <c r="C26" s="43">
        <v>481753</v>
      </c>
      <c r="D26" s="43"/>
      <c r="E26" s="43"/>
      <c r="F26" s="43">
        <v>9524</v>
      </c>
      <c r="G26" s="43">
        <v>185690</v>
      </c>
      <c r="H26" s="43"/>
      <c r="I26" s="43"/>
      <c r="J26" s="43">
        <v>43227</v>
      </c>
      <c r="K26" s="44">
        <f t="shared" si="0"/>
        <v>720194</v>
      </c>
      <c r="L26" s="43"/>
      <c r="M26" s="43">
        <v>3</v>
      </c>
      <c r="N26" s="43">
        <v>1</v>
      </c>
    </row>
    <row r="27" spans="1:14" ht="12.75">
      <c r="A27" s="41" t="s">
        <v>35</v>
      </c>
      <c r="B27" s="42">
        <v>86</v>
      </c>
      <c r="C27" s="43">
        <v>1359248</v>
      </c>
      <c r="D27" s="43"/>
      <c r="E27" s="43"/>
      <c r="F27" s="43"/>
      <c r="G27" s="43">
        <v>5145</v>
      </c>
      <c r="H27" s="43"/>
      <c r="I27" s="43"/>
      <c r="J27" s="43">
        <v>118325</v>
      </c>
      <c r="K27" s="44">
        <f t="shared" si="0"/>
        <v>1482718</v>
      </c>
      <c r="L27" s="43"/>
      <c r="M27" s="43">
        <v>6</v>
      </c>
      <c r="N27" s="43">
        <v>4</v>
      </c>
    </row>
    <row r="28" spans="1:14" ht="12.75">
      <c r="A28" s="41" t="s">
        <v>36</v>
      </c>
      <c r="B28" s="42">
        <v>87</v>
      </c>
      <c r="C28" s="43">
        <v>260300</v>
      </c>
      <c r="D28" s="43"/>
      <c r="E28" s="43"/>
      <c r="F28" s="43">
        <v>30000</v>
      </c>
      <c r="G28" s="43">
        <v>39200</v>
      </c>
      <c r="H28" s="43"/>
      <c r="I28" s="43"/>
      <c r="J28" s="43">
        <v>342</v>
      </c>
      <c r="K28" s="44">
        <f t="shared" si="0"/>
        <v>329842</v>
      </c>
      <c r="L28" s="43"/>
      <c r="M28" s="43">
        <v>1</v>
      </c>
      <c r="N28" s="43">
        <v>1</v>
      </c>
    </row>
    <row r="29" spans="1:14" ht="12.75">
      <c r="A29" s="41" t="s">
        <v>37</v>
      </c>
      <c r="B29" s="42">
        <v>88</v>
      </c>
      <c r="C29" s="43">
        <v>797400</v>
      </c>
      <c r="D29" s="43"/>
      <c r="E29" s="43"/>
      <c r="F29" s="43"/>
      <c r="G29" s="43">
        <v>39200</v>
      </c>
      <c r="H29" s="43"/>
      <c r="I29" s="43"/>
      <c r="J29" s="43">
        <v>46450</v>
      </c>
      <c r="K29" s="44">
        <f t="shared" si="0"/>
        <v>883050</v>
      </c>
      <c r="L29" s="43"/>
      <c r="M29" s="43">
        <v>3</v>
      </c>
      <c r="N29" s="43">
        <v>3</v>
      </c>
    </row>
    <row r="30" spans="1:14" ht="12.75">
      <c r="A30" s="41" t="s">
        <v>40</v>
      </c>
      <c r="B30" s="42">
        <v>89</v>
      </c>
      <c r="C30" s="43">
        <v>1232600</v>
      </c>
      <c r="D30" s="43"/>
      <c r="E30" s="43"/>
      <c r="F30" s="43"/>
      <c r="G30" s="43"/>
      <c r="H30" s="43"/>
      <c r="I30" s="43"/>
      <c r="J30" s="43">
        <v>102717</v>
      </c>
      <c r="K30" s="44">
        <f t="shared" si="0"/>
        <v>1335317</v>
      </c>
      <c r="L30" s="43">
        <v>129539</v>
      </c>
      <c r="M30" s="43">
        <v>4</v>
      </c>
      <c r="N30" s="43">
        <v>0</v>
      </c>
    </row>
    <row r="31" spans="1:14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3"/>
      <c r="K31" s="44">
        <f t="shared" si="0"/>
        <v>0</v>
      </c>
      <c r="L31" s="43"/>
      <c r="M31" s="43"/>
      <c r="N31" s="43">
        <v>0</v>
      </c>
    </row>
    <row r="32" spans="1:14" s="48" customFormat="1" ht="12.75">
      <c r="A32" s="46" t="s">
        <v>73</v>
      </c>
      <c r="B32" s="42">
        <v>92</v>
      </c>
      <c r="C32" s="47">
        <f>SUM(C12:C31)</f>
        <v>10109086</v>
      </c>
      <c r="D32" s="47">
        <f aca="true" t="shared" si="1" ref="D32:J32">SUM(D12:D31)</f>
        <v>0</v>
      </c>
      <c r="E32" s="47">
        <f t="shared" si="1"/>
        <v>0</v>
      </c>
      <c r="F32" s="47">
        <f t="shared" si="1"/>
        <v>39524</v>
      </c>
      <c r="G32" s="47">
        <f t="shared" si="1"/>
        <v>635366</v>
      </c>
      <c r="H32" s="47">
        <f t="shared" si="1"/>
        <v>0</v>
      </c>
      <c r="I32" s="47">
        <f t="shared" si="1"/>
        <v>0</v>
      </c>
      <c r="J32" s="47">
        <f t="shared" si="1"/>
        <v>793512</v>
      </c>
      <c r="K32" s="44">
        <f t="shared" si="0"/>
        <v>11577488</v>
      </c>
      <c r="L32" s="47">
        <f>SUM(L12:L31)</f>
        <v>179157</v>
      </c>
      <c r="M32" s="47">
        <f>SUM(M12:M31)</f>
        <v>69</v>
      </c>
      <c r="N32" s="47">
        <f>SUM(N12:N31)</f>
        <v>50</v>
      </c>
    </row>
    <row r="33" spans="1:14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3"/>
      <c r="K33" s="44">
        <f t="shared" si="0"/>
        <v>0</v>
      </c>
      <c r="L33" s="43"/>
      <c r="M33" s="43"/>
      <c r="N33" s="43"/>
    </row>
    <row r="34" spans="1:14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3"/>
      <c r="K34" s="44">
        <f t="shared" si="0"/>
        <v>0</v>
      </c>
      <c r="L34" s="43"/>
      <c r="M34" s="43"/>
      <c r="N34" s="43"/>
    </row>
    <row r="35" spans="1:14" s="48" customFormat="1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3"/>
      <c r="K35" s="44">
        <f t="shared" si="0"/>
        <v>0</v>
      </c>
      <c r="L35" s="43"/>
      <c r="M35" s="43"/>
      <c r="N35" s="43"/>
    </row>
    <row r="36" spans="1:14" s="48" customFormat="1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3"/>
      <c r="K36" s="44">
        <f t="shared" si="0"/>
        <v>0</v>
      </c>
      <c r="L36" s="43"/>
      <c r="M36" s="43"/>
      <c r="N36" s="43"/>
    </row>
    <row r="37" spans="1:14" s="48" customFormat="1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3"/>
      <c r="K37" s="44">
        <f t="shared" si="0"/>
        <v>0</v>
      </c>
      <c r="L37" s="43"/>
      <c r="M37" s="43"/>
      <c r="N37" s="43"/>
    </row>
    <row r="38" spans="1:14" s="112" customFormat="1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3"/>
      <c r="K38" s="44">
        <f t="shared" si="0"/>
        <v>0</v>
      </c>
      <c r="L38" s="43"/>
      <c r="M38" s="43"/>
      <c r="N38" s="43"/>
    </row>
    <row r="39" spans="1:14" ht="12.75">
      <c r="A39" s="46" t="s">
        <v>72</v>
      </c>
      <c r="B39" s="42">
        <v>110</v>
      </c>
      <c r="C39" s="47">
        <f>SUM(C33:C38)</f>
        <v>0</v>
      </c>
      <c r="D39" s="47">
        <f aca="true" t="shared" si="2" ref="D39:J39"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44">
        <f t="shared" si="0"/>
        <v>0</v>
      </c>
      <c r="L39" s="47">
        <f>SUM(L33:L38)</f>
        <v>0</v>
      </c>
      <c r="M39" s="47">
        <f>SUM(M33:M38)</f>
        <v>0</v>
      </c>
      <c r="N39" s="47">
        <f>SUM(N33:N38)</f>
        <v>0</v>
      </c>
    </row>
    <row r="40" spans="1:14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3"/>
      <c r="K40" s="44">
        <f t="shared" si="0"/>
        <v>0</v>
      </c>
      <c r="L40" s="43"/>
      <c r="M40" s="43"/>
      <c r="N40" s="43"/>
    </row>
    <row r="41" spans="1:14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3"/>
      <c r="K41" s="44">
        <f t="shared" si="0"/>
        <v>0</v>
      </c>
      <c r="L41" s="43"/>
      <c r="M41" s="43"/>
      <c r="N41" s="43"/>
    </row>
    <row r="42" spans="1:14" ht="12.75">
      <c r="A42" s="50" t="s">
        <v>59</v>
      </c>
      <c r="B42" s="42">
        <v>113</v>
      </c>
      <c r="C42" s="43">
        <v>309200</v>
      </c>
      <c r="D42" s="43">
        <v>36718</v>
      </c>
      <c r="E42" s="43">
        <v>92760</v>
      </c>
      <c r="F42" s="43">
        <v>15460</v>
      </c>
      <c r="G42" s="43">
        <v>119815</v>
      </c>
      <c r="H42" s="43"/>
      <c r="I42" s="43"/>
      <c r="J42" s="43">
        <v>47829</v>
      </c>
      <c r="K42" s="44">
        <f t="shared" si="0"/>
        <v>621782</v>
      </c>
      <c r="L42" s="43"/>
      <c r="M42" s="43">
        <v>1</v>
      </c>
      <c r="N42" s="43">
        <v>1</v>
      </c>
    </row>
    <row r="43" spans="1:14" ht="12.75">
      <c r="A43" s="50" t="s">
        <v>60</v>
      </c>
      <c r="B43" s="42">
        <v>114</v>
      </c>
      <c r="C43" s="43">
        <v>1159500</v>
      </c>
      <c r="D43" s="43">
        <v>111314</v>
      </c>
      <c r="E43" s="43">
        <v>347852</v>
      </c>
      <c r="F43" s="43">
        <v>52178</v>
      </c>
      <c r="G43" s="43">
        <v>248519</v>
      </c>
      <c r="H43" s="43"/>
      <c r="I43" s="43"/>
      <c r="J43" s="43">
        <v>159947</v>
      </c>
      <c r="K43" s="44">
        <f t="shared" si="0"/>
        <v>2079310</v>
      </c>
      <c r="L43" s="43">
        <v>171873</v>
      </c>
      <c r="M43" s="43">
        <v>4</v>
      </c>
      <c r="N43" s="43">
        <v>4</v>
      </c>
    </row>
    <row r="44" spans="1:14" ht="12.75">
      <c r="A44" s="50" t="s">
        <v>61</v>
      </c>
      <c r="B44" s="42">
        <v>115</v>
      </c>
      <c r="C44" s="43">
        <v>4869900</v>
      </c>
      <c r="D44" s="43">
        <v>483520</v>
      </c>
      <c r="E44" s="43">
        <v>1420388</v>
      </c>
      <c r="F44" s="43">
        <v>222238</v>
      </c>
      <c r="G44" s="43">
        <v>572732</v>
      </c>
      <c r="H44" s="43"/>
      <c r="I44" s="43"/>
      <c r="J44" s="43">
        <v>626260</v>
      </c>
      <c r="K44" s="44">
        <f t="shared" si="0"/>
        <v>8195038</v>
      </c>
      <c r="L44" s="43">
        <v>564119</v>
      </c>
      <c r="M44" s="43">
        <v>16</v>
      </c>
      <c r="N44" s="43">
        <v>16</v>
      </c>
    </row>
    <row r="45" spans="1:14" ht="12.75">
      <c r="A45" s="50" t="s">
        <v>62</v>
      </c>
      <c r="B45" s="42">
        <v>119</v>
      </c>
      <c r="C45" s="43">
        <v>14877094</v>
      </c>
      <c r="D45" s="43">
        <v>1680950</v>
      </c>
      <c r="E45" s="43">
        <v>4223505</v>
      </c>
      <c r="F45" s="43">
        <v>1346967</v>
      </c>
      <c r="G45" s="43">
        <v>742147</v>
      </c>
      <c r="H45" s="43"/>
      <c r="I45" s="43"/>
      <c r="J45" s="43">
        <v>1812118</v>
      </c>
      <c r="K45" s="44">
        <f t="shared" si="0"/>
        <v>24682781</v>
      </c>
      <c r="L45" s="43">
        <v>1174852</v>
      </c>
      <c r="M45" s="43">
        <v>78</v>
      </c>
      <c r="N45" s="43">
        <v>89</v>
      </c>
    </row>
    <row r="46" spans="1:14" ht="12.75">
      <c r="A46" s="50" t="s">
        <v>63</v>
      </c>
      <c r="B46" s="42">
        <v>120</v>
      </c>
      <c r="C46" s="43">
        <v>56998541</v>
      </c>
      <c r="D46" s="43">
        <v>8296524</v>
      </c>
      <c r="E46" s="43">
        <v>8818647</v>
      </c>
      <c r="F46" s="43">
        <v>533374</v>
      </c>
      <c r="G46" s="43">
        <v>16363689</v>
      </c>
      <c r="H46" s="43"/>
      <c r="I46" s="43"/>
      <c r="J46" s="43">
        <v>6493268</v>
      </c>
      <c r="K46" s="44">
        <f t="shared" si="0"/>
        <v>97504043</v>
      </c>
      <c r="L46" s="43">
        <v>9524363</v>
      </c>
      <c r="M46" s="43">
        <v>536</v>
      </c>
      <c r="N46" s="43">
        <v>631</v>
      </c>
    </row>
    <row r="47" spans="1:14" ht="12.75">
      <c r="A47" s="46" t="s">
        <v>74</v>
      </c>
      <c r="B47" s="47">
        <v>121</v>
      </c>
      <c r="C47" s="47">
        <f>SUM(C40:C46)</f>
        <v>78214235</v>
      </c>
      <c r="D47" s="47">
        <f aca="true" t="shared" si="3" ref="D47:J47">SUM(D40:D46)</f>
        <v>10609026</v>
      </c>
      <c r="E47" s="47">
        <f t="shared" si="3"/>
        <v>14903152</v>
      </c>
      <c r="F47" s="47">
        <f t="shared" si="3"/>
        <v>2170217</v>
      </c>
      <c r="G47" s="47">
        <f t="shared" si="3"/>
        <v>18046902</v>
      </c>
      <c r="H47" s="47">
        <f t="shared" si="3"/>
        <v>0</v>
      </c>
      <c r="I47" s="47">
        <f t="shared" si="3"/>
        <v>0</v>
      </c>
      <c r="J47" s="47">
        <f t="shared" si="3"/>
        <v>9139422</v>
      </c>
      <c r="K47" s="44">
        <f t="shared" si="0"/>
        <v>133082954</v>
      </c>
      <c r="L47" s="47">
        <f>SUM(L40:L46)</f>
        <v>11435207</v>
      </c>
      <c r="M47" s="47">
        <f>SUM(M40:M46)</f>
        <v>635</v>
      </c>
      <c r="N47" s="47">
        <f>SUM(N40:N46)</f>
        <v>741</v>
      </c>
    </row>
    <row r="48" spans="1:14" ht="12.75">
      <c r="A48" s="46" t="s">
        <v>119</v>
      </c>
      <c r="B48" s="47">
        <v>152</v>
      </c>
      <c r="C48" s="47">
        <f>C32+C39+C47</f>
        <v>88323321</v>
      </c>
      <c r="D48" s="47">
        <f aca="true" t="shared" si="4" ref="D48:J48">D32+D39+D47</f>
        <v>10609026</v>
      </c>
      <c r="E48" s="47">
        <f t="shared" si="4"/>
        <v>14903152</v>
      </c>
      <c r="F48" s="47">
        <f t="shared" si="4"/>
        <v>2209741</v>
      </c>
      <c r="G48" s="47">
        <f t="shared" si="4"/>
        <v>18682268</v>
      </c>
      <c r="H48" s="47">
        <f t="shared" si="4"/>
        <v>0</v>
      </c>
      <c r="I48" s="47">
        <f t="shared" si="4"/>
        <v>0</v>
      </c>
      <c r="J48" s="47">
        <f t="shared" si="4"/>
        <v>9932934</v>
      </c>
      <c r="K48" s="44">
        <f t="shared" si="0"/>
        <v>144660442</v>
      </c>
      <c r="L48" s="47">
        <f>L32+L39+L47</f>
        <v>11614364</v>
      </c>
      <c r="M48" s="47">
        <f>M32+M39+M47</f>
        <v>704</v>
      </c>
      <c r="N48" s="47">
        <f>N32+N39+N47</f>
        <v>791</v>
      </c>
    </row>
    <row r="49" spans="1:14" ht="12.75">
      <c r="A49" s="46" t="s">
        <v>51</v>
      </c>
      <c r="B49" s="47">
        <v>158</v>
      </c>
      <c r="C49" s="51">
        <v>433900</v>
      </c>
      <c r="D49" s="51"/>
      <c r="E49" s="51"/>
      <c r="F49" s="51"/>
      <c r="G49" s="51">
        <v>19600</v>
      </c>
      <c r="H49" s="51"/>
      <c r="I49" s="51"/>
      <c r="J49" s="51">
        <v>36159</v>
      </c>
      <c r="K49" s="44">
        <f t="shared" si="0"/>
        <v>489659</v>
      </c>
      <c r="L49" s="51"/>
      <c r="M49" s="51">
        <v>2</v>
      </c>
      <c r="N49" s="51">
        <v>3</v>
      </c>
    </row>
    <row r="50" spans="1:14" ht="12.75">
      <c r="A50" s="46" t="s">
        <v>75</v>
      </c>
      <c r="B50" s="47">
        <v>159</v>
      </c>
      <c r="C50" s="47">
        <f>C48+C49</f>
        <v>88757221</v>
      </c>
      <c r="D50" s="47">
        <f aca="true" t="shared" si="5" ref="D50:J50">D48+D49</f>
        <v>10609026</v>
      </c>
      <c r="E50" s="47">
        <f t="shared" si="5"/>
        <v>14903152</v>
      </c>
      <c r="F50" s="47">
        <f t="shared" si="5"/>
        <v>2209741</v>
      </c>
      <c r="G50" s="47">
        <f t="shared" si="5"/>
        <v>18701868</v>
      </c>
      <c r="H50" s="47">
        <f t="shared" si="5"/>
        <v>0</v>
      </c>
      <c r="I50" s="47">
        <f t="shared" si="5"/>
        <v>0</v>
      </c>
      <c r="J50" s="47">
        <f t="shared" si="5"/>
        <v>9969093</v>
      </c>
      <c r="K50" s="44">
        <f t="shared" si="0"/>
        <v>145150101</v>
      </c>
      <c r="L50" s="47">
        <f>L48+L49</f>
        <v>11614364</v>
      </c>
      <c r="M50" s="47">
        <f>M48+M49</f>
        <v>706</v>
      </c>
      <c r="N50" s="47">
        <f>N48+N49</f>
        <v>794</v>
      </c>
    </row>
    <row r="51" spans="1:14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5"/>
      <c r="L51" s="114"/>
      <c r="M51" s="114"/>
      <c r="N51" s="116"/>
    </row>
    <row r="52" spans="1:14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7"/>
      <c r="N52" s="116"/>
    </row>
    <row r="53" spans="1:14" ht="12.75">
      <c r="A53" s="178" t="s">
        <v>3</v>
      </c>
      <c r="B53" s="136" t="s">
        <v>49</v>
      </c>
      <c r="C53" s="137" t="s">
        <v>4</v>
      </c>
      <c r="D53" s="137" t="s">
        <v>5</v>
      </c>
      <c r="E53" s="137" t="s">
        <v>6</v>
      </c>
      <c r="F53" s="137" t="s">
        <v>80</v>
      </c>
      <c r="G53" s="137" t="s">
        <v>81</v>
      </c>
      <c r="H53" s="137" t="s">
        <v>7</v>
      </c>
      <c r="I53" s="137" t="s">
        <v>42</v>
      </c>
      <c r="J53" s="137" t="s">
        <v>78</v>
      </c>
      <c r="K53" s="138" t="s">
        <v>155</v>
      </c>
      <c r="L53" s="137" t="s">
        <v>157</v>
      </c>
      <c r="M53" s="137" t="s">
        <v>159</v>
      </c>
      <c r="N53" s="116"/>
    </row>
    <row r="54" spans="1:14" ht="12.75">
      <c r="A54" s="179"/>
      <c r="B54" s="54" t="s">
        <v>50</v>
      </c>
      <c r="C54" s="55" t="s">
        <v>9</v>
      </c>
      <c r="D54" s="55" t="s">
        <v>10</v>
      </c>
      <c r="E54" s="55" t="s">
        <v>11</v>
      </c>
      <c r="F54" s="55" t="s">
        <v>10</v>
      </c>
      <c r="G54" s="55" t="s">
        <v>12</v>
      </c>
      <c r="H54" s="55" t="s">
        <v>13</v>
      </c>
      <c r="I54" s="55" t="s">
        <v>43</v>
      </c>
      <c r="J54" s="55" t="s">
        <v>79</v>
      </c>
      <c r="K54" s="117" t="s">
        <v>156</v>
      </c>
      <c r="L54" s="55" t="s">
        <v>158</v>
      </c>
      <c r="M54" s="55" t="s">
        <v>54</v>
      </c>
      <c r="N54" s="116"/>
    </row>
    <row r="55" spans="1:15" ht="12.75">
      <c r="A55" s="56" t="s">
        <v>63</v>
      </c>
      <c r="B55" s="57">
        <f>IF(A55="","",VLOOKUP(A55,$A$12:$B$50,2,FALSE))</f>
        <v>120</v>
      </c>
      <c r="C55" s="57">
        <v>1313678</v>
      </c>
      <c r="D55" s="57">
        <v>205049</v>
      </c>
      <c r="E55" s="57">
        <v>197056</v>
      </c>
      <c r="F55" s="57"/>
      <c r="G55" s="57">
        <v>337191</v>
      </c>
      <c r="H55" s="57"/>
      <c r="I55" s="57"/>
      <c r="J55" s="57">
        <v>76176</v>
      </c>
      <c r="K55" s="118">
        <f>SUM(C55:J55)</f>
        <v>2129150</v>
      </c>
      <c r="L55" s="57">
        <v>920912</v>
      </c>
      <c r="M55" s="58">
        <v>20</v>
      </c>
      <c r="N55" s="119"/>
      <c r="O55" s="45"/>
    </row>
    <row r="56" spans="1:15" ht="12.75">
      <c r="A56" s="60" t="s">
        <v>33</v>
      </c>
      <c r="B56" s="61">
        <f>IF(A56="","",VLOOKUP(A56,$A$12:$B$50,2,FALSE))</f>
        <v>84</v>
      </c>
      <c r="C56" s="61">
        <v>204518</v>
      </c>
      <c r="D56" s="61"/>
      <c r="E56" s="61"/>
      <c r="F56" s="61"/>
      <c r="G56" s="61"/>
      <c r="H56" s="61"/>
      <c r="I56" s="61"/>
      <c r="J56" s="61">
        <v>8941</v>
      </c>
      <c r="K56" s="118">
        <f>SUM(C56:J56)</f>
        <v>213459</v>
      </c>
      <c r="L56" s="61">
        <v>27200</v>
      </c>
      <c r="M56" s="62">
        <v>4</v>
      </c>
      <c r="N56" s="119"/>
      <c r="O56" s="45"/>
    </row>
    <row r="57" spans="1:15" ht="12.75">
      <c r="A57" s="60" t="s">
        <v>35</v>
      </c>
      <c r="B57" s="61">
        <f>IF(A57="","",VLOOKUP(A57,$A$12:$B$50,2,FALSE))</f>
        <v>86</v>
      </c>
      <c r="C57" s="61">
        <v>171848</v>
      </c>
      <c r="D57" s="61"/>
      <c r="E57" s="61"/>
      <c r="F57" s="61"/>
      <c r="G57" s="61"/>
      <c r="H57" s="61"/>
      <c r="I57" s="61"/>
      <c r="J57" s="61">
        <v>19375</v>
      </c>
      <c r="K57" s="118">
        <f>SUM(C57:J57)</f>
        <v>191223</v>
      </c>
      <c r="L57" s="61"/>
      <c r="M57" s="62">
        <v>1</v>
      </c>
      <c r="N57" s="119"/>
      <c r="O57" s="45"/>
    </row>
    <row r="58" spans="1:15" ht="12.75">
      <c r="A58" s="60" t="s">
        <v>36</v>
      </c>
      <c r="B58" s="61">
        <f>IF(A58="","",VLOOKUP(A58,$A$12:$B$50,2,FALSE))</f>
        <v>87</v>
      </c>
      <c r="C58" s="61"/>
      <c r="D58" s="61"/>
      <c r="E58" s="61"/>
      <c r="F58" s="61"/>
      <c r="G58" s="61"/>
      <c r="H58" s="61"/>
      <c r="I58" s="61"/>
      <c r="J58" s="61">
        <v>-21350</v>
      </c>
      <c r="K58" s="118">
        <f>SUM(C58:J58)</f>
        <v>-21350</v>
      </c>
      <c r="L58" s="61"/>
      <c r="M58" s="62">
        <v>1</v>
      </c>
      <c r="N58" s="59"/>
      <c r="O58" s="45"/>
    </row>
    <row r="60" spans="1:5" ht="12.75">
      <c r="A60" s="63" t="s">
        <v>21</v>
      </c>
      <c r="B60" s="175" t="s">
        <v>213</v>
      </c>
      <c r="C60" s="175"/>
      <c r="D60" s="175"/>
      <c r="E60" s="64"/>
    </row>
    <row r="61" spans="10:11" ht="12.75">
      <c r="J61" s="174" t="s">
        <v>211</v>
      </c>
      <c r="K61" s="174"/>
    </row>
    <row r="62" spans="10:11" ht="12.75">
      <c r="J62" s="173" t="s">
        <v>48</v>
      </c>
      <c r="K62" s="173"/>
    </row>
  </sheetData>
  <sheetProtection/>
  <mergeCells count="14">
    <mergeCell ref="A53:A54"/>
    <mergeCell ref="A52:M52"/>
    <mergeCell ref="K3:L3"/>
    <mergeCell ref="K2:L2"/>
    <mergeCell ref="B60:D60"/>
    <mergeCell ref="J61:K61"/>
    <mergeCell ref="J62:K62"/>
    <mergeCell ref="F5:M5"/>
    <mergeCell ref="A5:D5"/>
    <mergeCell ref="C10:D10"/>
    <mergeCell ref="M9:N9"/>
    <mergeCell ref="M7:M8"/>
    <mergeCell ref="N7:N8"/>
    <mergeCell ref="C7:D7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9" ht="38.25" customHeight="1">
      <c r="A2" s="3" t="s">
        <v>71</v>
      </c>
      <c r="G2" s="5" t="s">
        <v>0</v>
      </c>
      <c r="H2" s="198" t="s">
        <v>212</v>
      </c>
      <c r="I2" s="170"/>
    </row>
    <row r="3" spans="1:9" ht="12.75">
      <c r="A3" s="3"/>
      <c r="G3" s="5" t="s">
        <v>77</v>
      </c>
      <c r="H3" s="169" t="s">
        <v>208</v>
      </c>
      <c r="I3" s="170"/>
    </row>
    <row r="4" ht="18" customHeight="1">
      <c r="A4" s="6"/>
    </row>
    <row r="5" spans="1:10" ht="18">
      <c r="A5" s="172" t="s">
        <v>85</v>
      </c>
      <c r="B5" s="172"/>
      <c r="C5" s="172"/>
      <c r="D5" s="172"/>
      <c r="E5" s="172"/>
      <c r="F5" s="7" t="s">
        <v>83</v>
      </c>
      <c r="G5" s="171" t="s">
        <v>168</v>
      </c>
      <c r="H5" s="171"/>
      <c r="I5" s="171"/>
      <c r="J5" s="17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21" t="s">
        <v>115</v>
      </c>
      <c r="E7" s="121"/>
      <c r="F7" s="16" t="s">
        <v>107</v>
      </c>
      <c r="G7" s="16" t="s">
        <v>110</v>
      </c>
      <c r="H7" s="16" t="s">
        <v>112</v>
      </c>
      <c r="I7" s="16" t="s">
        <v>112</v>
      </c>
      <c r="J7" s="122" t="s">
        <v>112</v>
      </c>
    </row>
    <row r="8" spans="1:10" ht="12.75">
      <c r="A8" s="123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4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4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7" t="s">
        <v>181</v>
      </c>
      <c r="G10" s="27" t="s">
        <v>183</v>
      </c>
      <c r="H10" s="27" t="s">
        <v>187</v>
      </c>
      <c r="I10" s="27" t="s">
        <v>184</v>
      </c>
      <c r="J10" s="146" t="s">
        <v>182</v>
      </c>
    </row>
    <row r="11" spans="1:10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125"/>
    </row>
    <row r="12" spans="1:15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4">
        <f>SUM(C12:I12)</f>
        <v>0</v>
      </c>
      <c r="K12" s="64"/>
      <c r="L12" s="64"/>
      <c r="M12" s="64"/>
      <c r="N12" s="64"/>
      <c r="O12" s="64"/>
    </row>
    <row r="13" spans="1:15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4">
        <f aca="true" t="shared" si="0" ref="J13:J50">SUM(C13:I13)</f>
        <v>0</v>
      </c>
      <c r="K13" s="64"/>
      <c r="L13" s="64"/>
      <c r="M13" s="64"/>
      <c r="N13" s="64"/>
      <c r="O13" s="64"/>
    </row>
    <row r="14" spans="1:15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4">
        <f t="shared" si="0"/>
        <v>0</v>
      </c>
      <c r="K14" s="64"/>
      <c r="L14" s="64"/>
      <c r="M14" s="64"/>
      <c r="N14" s="64"/>
      <c r="O14" s="64"/>
    </row>
    <row r="15" spans="1:15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4">
        <f t="shared" si="0"/>
        <v>0</v>
      </c>
      <c r="K15" s="64"/>
      <c r="L15" s="64"/>
      <c r="M15" s="64"/>
      <c r="N15" s="64"/>
      <c r="O15" s="64"/>
    </row>
    <row r="16" spans="1:15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4">
        <f t="shared" si="0"/>
        <v>0</v>
      </c>
      <c r="K16" s="64"/>
      <c r="L16" s="64"/>
      <c r="M16" s="64"/>
      <c r="N16" s="64"/>
      <c r="O16" s="64"/>
    </row>
    <row r="17" spans="1:15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4">
        <f t="shared" si="0"/>
        <v>0</v>
      </c>
      <c r="K17" s="64"/>
      <c r="L17" s="64"/>
      <c r="M17" s="64"/>
      <c r="N17" s="64"/>
      <c r="O17" s="64"/>
    </row>
    <row r="18" spans="1:15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4">
        <f t="shared" si="0"/>
        <v>0</v>
      </c>
      <c r="K18" s="64"/>
      <c r="L18" s="64"/>
      <c r="M18" s="64"/>
      <c r="N18" s="64"/>
      <c r="O18" s="64"/>
    </row>
    <row r="19" spans="1:15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4">
        <f t="shared" si="0"/>
        <v>0</v>
      </c>
      <c r="K19" s="64"/>
      <c r="L19" s="64"/>
      <c r="M19" s="64"/>
      <c r="N19" s="64"/>
      <c r="O19" s="64"/>
    </row>
    <row r="20" spans="1:15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4">
        <f t="shared" si="0"/>
        <v>0</v>
      </c>
      <c r="K20" s="64"/>
      <c r="L20" s="64"/>
      <c r="M20" s="64"/>
      <c r="N20" s="64"/>
      <c r="O20" s="64"/>
    </row>
    <row r="21" spans="1:15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4">
        <f t="shared" si="0"/>
        <v>0</v>
      </c>
      <c r="K21" s="64"/>
      <c r="L21" s="64"/>
      <c r="M21" s="64"/>
      <c r="N21" s="64"/>
      <c r="O21" s="64"/>
    </row>
    <row r="22" spans="1:18" s="45" customFormat="1" ht="12.75" customHeight="1">
      <c r="A22" s="41" t="s">
        <v>38</v>
      </c>
      <c r="B22" s="42">
        <v>81</v>
      </c>
      <c r="C22" s="43">
        <f>128546+24105+2680</f>
        <v>155331</v>
      </c>
      <c r="D22" s="43"/>
      <c r="E22" s="43">
        <v>16069</v>
      </c>
      <c r="F22" s="43">
        <v>9750</v>
      </c>
      <c r="G22" s="43"/>
      <c r="H22" s="43"/>
      <c r="I22" s="43"/>
      <c r="J22" s="44">
        <f t="shared" si="0"/>
        <v>181150</v>
      </c>
      <c r="K22" s="64"/>
      <c r="L22" s="64"/>
      <c r="M22" s="64"/>
      <c r="N22" s="64"/>
      <c r="O22" s="64"/>
      <c r="P22" s="2"/>
      <c r="Q22" s="2"/>
      <c r="R22" s="2"/>
    </row>
    <row r="23" spans="1:15" ht="12.75">
      <c r="A23" s="41" t="s">
        <v>39</v>
      </c>
      <c r="B23" s="42">
        <v>82</v>
      </c>
      <c r="C23" s="43">
        <f>30009+5627+625</f>
        <v>36261</v>
      </c>
      <c r="D23" s="43"/>
      <c r="E23" s="43">
        <v>3752</v>
      </c>
      <c r="F23" s="43">
        <v>1950</v>
      </c>
      <c r="G23" s="43"/>
      <c r="H23" s="43"/>
      <c r="I23" s="43"/>
      <c r="J23" s="44">
        <f t="shared" si="0"/>
        <v>41963</v>
      </c>
      <c r="K23" s="64"/>
      <c r="L23" s="64"/>
      <c r="M23" s="64"/>
      <c r="N23" s="64"/>
      <c r="O23" s="64"/>
    </row>
    <row r="24" spans="1:15" ht="12.75">
      <c r="A24" s="41" t="s">
        <v>32</v>
      </c>
      <c r="B24" s="42">
        <v>83</v>
      </c>
      <c r="C24" s="43">
        <f>138422+25956+2885</f>
        <v>167263</v>
      </c>
      <c r="D24" s="43"/>
      <c r="E24" s="43">
        <v>17304</v>
      </c>
      <c r="F24" s="43">
        <v>7800</v>
      </c>
      <c r="G24" s="43"/>
      <c r="H24" s="43"/>
      <c r="I24" s="43"/>
      <c r="J24" s="44">
        <f t="shared" si="0"/>
        <v>192367</v>
      </c>
      <c r="K24" s="64"/>
      <c r="L24" s="64"/>
      <c r="M24" s="64"/>
      <c r="N24" s="64"/>
      <c r="O24" s="64"/>
    </row>
    <row r="25" spans="1:15" ht="12.75">
      <c r="A25" s="41" t="s">
        <v>33</v>
      </c>
      <c r="B25" s="42">
        <v>84</v>
      </c>
      <c r="C25" s="43">
        <f>1435162+269099+29912</f>
        <v>1734173</v>
      </c>
      <c r="D25" s="43"/>
      <c r="E25" s="43">
        <v>179401</v>
      </c>
      <c r="F25" s="43">
        <v>80210</v>
      </c>
      <c r="G25" s="43"/>
      <c r="H25" s="43"/>
      <c r="I25" s="43"/>
      <c r="J25" s="44">
        <f t="shared" si="0"/>
        <v>1993784</v>
      </c>
      <c r="K25" s="64"/>
      <c r="L25" s="64"/>
      <c r="M25" s="64"/>
      <c r="N25" s="64"/>
      <c r="O25" s="64"/>
    </row>
    <row r="26" spans="1:15" ht="12.75">
      <c r="A26" s="41" t="s">
        <v>34</v>
      </c>
      <c r="B26" s="42">
        <v>85</v>
      </c>
      <c r="C26" s="43">
        <f>172847+32408+3601</f>
        <v>208856</v>
      </c>
      <c r="D26" s="43"/>
      <c r="E26" s="43">
        <v>21607</v>
      </c>
      <c r="F26" s="43">
        <v>5850</v>
      </c>
      <c r="G26" s="43"/>
      <c r="H26" s="43"/>
      <c r="I26" s="43"/>
      <c r="J26" s="44">
        <f t="shared" si="0"/>
        <v>236313</v>
      </c>
      <c r="K26" s="64"/>
      <c r="L26" s="64"/>
      <c r="M26" s="64"/>
      <c r="N26" s="64"/>
      <c r="O26" s="64"/>
    </row>
    <row r="27" spans="1:15" ht="12.75">
      <c r="A27" s="41" t="s">
        <v>35</v>
      </c>
      <c r="B27" s="42">
        <v>86</v>
      </c>
      <c r="C27" s="43">
        <f>479098+89832+20783</f>
        <v>589713</v>
      </c>
      <c r="D27" s="43"/>
      <c r="E27" s="43">
        <v>45938</v>
      </c>
      <c r="F27" s="43">
        <v>11700</v>
      </c>
      <c r="G27" s="43"/>
      <c r="H27" s="43"/>
      <c r="I27" s="43"/>
      <c r="J27" s="44">
        <f t="shared" si="0"/>
        <v>647351</v>
      </c>
      <c r="K27" s="64"/>
      <c r="L27" s="64"/>
      <c r="M27" s="64"/>
      <c r="N27" s="64"/>
      <c r="O27" s="64"/>
    </row>
    <row r="28" spans="1:15" ht="12.75">
      <c r="A28" s="41" t="s">
        <v>36</v>
      </c>
      <c r="B28" s="42">
        <v>87</v>
      </c>
      <c r="C28" s="43">
        <f>79162+14843+1649</f>
        <v>95654</v>
      </c>
      <c r="D28" s="43"/>
      <c r="E28" s="43">
        <v>9895</v>
      </c>
      <c r="F28" s="43">
        <v>1950</v>
      </c>
      <c r="G28" s="43"/>
      <c r="H28" s="43"/>
      <c r="I28" s="43"/>
      <c r="J28" s="44">
        <f t="shared" si="0"/>
        <v>107499</v>
      </c>
      <c r="K28" s="64"/>
      <c r="L28" s="64"/>
      <c r="M28" s="64"/>
      <c r="N28" s="64"/>
      <c r="O28" s="64"/>
    </row>
    <row r="29" spans="1:15" ht="12.75">
      <c r="A29" s="41" t="s">
        <v>37</v>
      </c>
      <c r="B29" s="42">
        <v>88</v>
      </c>
      <c r="C29" s="43">
        <f>211932+39737+4927</f>
        <v>256596</v>
      </c>
      <c r="D29" s="43"/>
      <c r="E29" s="43">
        <v>26492</v>
      </c>
      <c r="F29" s="43">
        <v>3900</v>
      </c>
      <c r="G29" s="43"/>
      <c r="H29" s="43"/>
      <c r="I29" s="43"/>
      <c r="J29" s="44">
        <f t="shared" si="0"/>
        <v>286988</v>
      </c>
      <c r="K29" s="64"/>
      <c r="L29" s="64"/>
      <c r="M29" s="64"/>
      <c r="N29" s="64"/>
      <c r="O29" s="64"/>
    </row>
    <row r="30" spans="1:15" ht="12.75">
      <c r="A30" s="41" t="s">
        <v>40</v>
      </c>
      <c r="B30" s="42">
        <v>89</v>
      </c>
      <c r="C30" s="43">
        <f>351565+65919+7326</f>
        <v>424810</v>
      </c>
      <c r="D30" s="43"/>
      <c r="E30" s="43">
        <v>43945</v>
      </c>
      <c r="F30" s="43">
        <v>7800</v>
      </c>
      <c r="G30" s="43"/>
      <c r="H30" s="43"/>
      <c r="I30" s="43"/>
      <c r="J30" s="44">
        <f t="shared" si="0"/>
        <v>476555</v>
      </c>
      <c r="K30" s="64"/>
      <c r="L30" s="64"/>
      <c r="M30" s="64"/>
      <c r="N30" s="64"/>
      <c r="O30" s="64"/>
    </row>
    <row r="31" spans="1:15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4">
        <f t="shared" si="0"/>
        <v>0</v>
      </c>
      <c r="K31" s="64"/>
      <c r="L31" s="64"/>
      <c r="M31" s="64"/>
      <c r="N31" s="64"/>
      <c r="O31" s="64"/>
    </row>
    <row r="32" spans="1:15" s="48" customFormat="1" ht="12.75">
      <c r="A32" s="46" t="s">
        <v>73</v>
      </c>
      <c r="B32" s="42">
        <v>92</v>
      </c>
      <c r="C32" s="47">
        <f aca="true" t="shared" si="1" ref="C32:I32">SUM(C12:C31)</f>
        <v>3668657</v>
      </c>
      <c r="D32" s="47">
        <f>SUM(D12:D31)</f>
        <v>0</v>
      </c>
      <c r="E32" s="47">
        <f t="shared" si="1"/>
        <v>364403</v>
      </c>
      <c r="F32" s="47">
        <f t="shared" si="1"/>
        <v>130910</v>
      </c>
      <c r="G32" s="47">
        <v>8142</v>
      </c>
      <c r="H32" s="47">
        <f t="shared" si="1"/>
        <v>0</v>
      </c>
      <c r="I32" s="47">
        <f t="shared" si="1"/>
        <v>0</v>
      </c>
      <c r="J32" s="44">
        <f t="shared" si="0"/>
        <v>4172112</v>
      </c>
      <c r="K32" s="126"/>
      <c r="L32" s="126"/>
      <c r="M32" s="126"/>
      <c r="N32" s="126"/>
      <c r="O32" s="126"/>
    </row>
    <row r="33" spans="1:15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4">
        <f t="shared" si="0"/>
        <v>0</v>
      </c>
      <c r="K33" s="64"/>
      <c r="L33" s="64"/>
      <c r="M33" s="64"/>
      <c r="N33" s="64"/>
      <c r="O33" s="64"/>
    </row>
    <row r="34" spans="1:15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4">
        <f t="shared" si="0"/>
        <v>0</v>
      </c>
      <c r="K34" s="64"/>
      <c r="L34" s="64"/>
      <c r="M34" s="64"/>
      <c r="N34" s="64"/>
      <c r="O34" s="64"/>
    </row>
    <row r="35" spans="1:15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4">
        <f t="shared" si="0"/>
        <v>0</v>
      </c>
      <c r="K35" s="64"/>
      <c r="L35" s="64"/>
      <c r="M35" s="64"/>
      <c r="N35" s="64"/>
      <c r="O35" s="64"/>
    </row>
    <row r="36" spans="1:15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4">
        <f t="shared" si="0"/>
        <v>0</v>
      </c>
      <c r="K36" s="64"/>
      <c r="L36" s="64"/>
      <c r="M36" s="64"/>
      <c r="N36" s="64"/>
      <c r="O36" s="64"/>
    </row>
    <row r="37" spans="1:15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4">
        <f t="shared" si="0"/>
        <v>0</v>
      </c>
      <c r="K37" s="64"/>
      <c r="L37" s="64"/>
      <c r="M37" s="64"/>
      <c r="N37" s="64"/>
      <c r="O37" s="64"/>
    </row>
    <row r="38" spans="1:15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4">
        <f t="shared" si="0"/>
        <v>0</v>
      </c>
      <c r="K38" s="64"/>
      <c r="L38" s="64"/>
      <c r="M38" s="64"/>
      <c r="N38" s="64"/>
      <c r="O38" s="64"/>
    </row>
    <row r="39" spans="1:15" s="48" customFormat="1" ht="12.75">
      <c r="A39" s="46" t="s">
        <v>72</v>
      </c>
      <c r="B39" s="42">
        <v>110</v>
      </c>
      <c r="C39" s="47">
        <f aca="true" t="shared" si="2" ref="C39:I39">SUM(C33:C38)</f>
        <v>0</v>
      </c>
      <c r="D39" s="47">
        <f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4">
        <f t="shared" si="0"/>
        <v>0</v>
      </c>
      <c r="K39" s="126"/>
      <c r="L39" s="126"/>
      <c r="M39" s="126"/>
      <c r="N39" s="126"/>
      <c r="O39" s="126"/>
    </row>
    <row r="40" spans="1:15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4">
        <f t="shared" si="0"/>
        <v>0</v>
      </c>
      <c r="K40" s="64"/>
      <c r="L40" s="64"/>
      <c r="M40" s="64"/>
      <c r="N40" s="64"/>
      <c r="O40" s="64"/>
    </row>
    <row r="41" spans="1:15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4">
        <f t="shared" si="0"/>
        <v>0</v>
      </c>
      <c r="K41" s="64"/>
      <c r="L41" s="64"/>
      <c r="M41" s="64"/>
      <c r="N41" s="64"/>
      <c r="O41" s="64"/>
    </row>
    <row r="42" spans="1:15" ht="12.75">
      <c r="A42" s="50" t="s">
        <v>59</v>
      </c>
      <c r="B42" s="42">
        <v>113</v>
      </c>
      <c r="C42" s="43">
        <f>149228+27980+3109</f>
        <v>180317</v>
      </c>
      <c r="D42" s="43"/>
      <c r="E42" s="43">
        <v>18654</v>
      </c>
      <c r="F42" s="43">
        <v>1950</v>
      </c>
      <c r="G42" s="43"/>
      <c r="H42" s="43"/>
      <c r="I42" s="43"/>
      <c r="J42" s="44">
        <f t="shared" si="0"/>
        <v>200921</v>
      </c>
      <c r="K42" s="64"/>
      <c r="L42" s="64"/>
      <c r="M42" s="64"/>
      <c r="N42" s="64"/>
      <c r="O42" s="64"/>
    </row>
    <row r="43" spans="1:15" ht="12.75">
      <c r="A43" s="50" t="s">
        <v>60</v>
      </c>
      <c r="B43" s="42">
        <v>114</v>
      </c>
      <c r="C43" s="43">
        <f>540284+101302+11256</f>
        <v>652842</v>
      </c>
      <c r="D43" s="43"/>
      <c r="E43" s="43">
        <v>67537</v>
      </c>
      <c r="F43" s="43">
        <v>7800</v>
      </c>
      <c r="G43" s="43"/>
      <c r="H43" s="43"/>
      <c r="I43" s="43"/>
      <c r="J43" s="44">
        <f t="shared" si="0"/>
        <v>728179</v>
      </c>
      <c r="K43" s="64"/>
      <c r="L43" s="64"/>
      <c r="M43" s="64"/>
      <c r="N43" s="64"/>
      <c r="O43" s="64"/>
    </row>
    <row r="44" spans="1:15" ht="12.75">
      <c r="A44" s="50" t="s">
        <v>61</v>
      </c>
      <c r="B44" s="42">
        <v>115</v>
      </c>
      <c r="C44" s="43">
        <f>2102198+394163+43800</f>
        <v>2540161</v>
      </c>
      <c r="D44" s="43"/>
      <c r="E44" s="43">
        <v>262775</v>
      </c>
      <c r="F44" s="43">
        <v>34775</v>
      </c>
      <c r="G44" s="43"/>
      <c r="H44" s="43"/>
      <c r="I44" s="43"/>
      <c r="J44" s="44">
        <f t="shared" si="0"/>
        <v>2837711</v>
      </c>
      <c r="K44" s="64"/>
      <c r="L44" s="64"/>
      <c r="M44" s="64"/>
      <c r="N44" s="64"/>
      <c r="O44" s="64"/>
    </row>
    <row r="45" spans="1:15" ht="12.75">
      <c r="A45" s="50" t="s">
        <v>62</v>
      </c>
      <c r="B45" s="42">
        <v>119</v>
      </c>
      <c r="C45" s="43">
        <f>6223160+1166851+129648</f>
        <v>7519659</v>
      </c>
      <c r="D45" s="43"/>
      <c r="E45" s="43">
        <v>777898</v>
      </c>
      <c r="F45" s="43">
        <v>138060</v>
      </c>
      <c r="G45" s="43"/>
      <c r="H45" s="43"/>
      <c r="I45" s="43"/>
      <c r="J45" s="44">
        <f t="shared" si="0"/>
        <v>8435617</v>
      </c>
      <c r="K45" s="64"/>
      <c r="L45" s="64"/>
      <c r="M45" s="64"/>
      <c r="N45" s="64"/>
      <c r="O45" s="64"/>
    </row>
    <row r="46" spans="1:15" ht="12.75">
      <c r="A46" s="50" t="s">
        <v>63</v>
      </c>
      <c r="B46" s="42">
        <v>120</v>
      </c>
      <c r="C46" s="43">
        <f>25681806+4849152+538798</f>
        <v>31069756</v>
      </c>
      <c r="D46" s="43"/>
      <c r="E46" s="43">
        <v>3222045</v>
      </c>
      <c r="F46" s="43">
        <v>1001455</v>
      </c>
      <c r="G46" s="43"/>
      <c r="H46" s="43"/>
      <c r="I46" s="43"/>
      <c r="J46" s="44">
        <f t="shared" si="0"/>
        <v>35293256</v>
      </c>
      <c r="K46" s="64"/>
      <c r="L46" s="64"/>
      <c r="M46" s="64"/>
      <c r="N46" s="64"/>
      <c r="O46" s="64"/>
    </row>
    <row r="47" spans="1:15" s="48" customFormat="1" ht="12.75">
      <c r="A47" s="46" t="s">
        <v>74</v>
      </c>
      <c r="B47" s="47">
        <v>121</v>
      </c>
      <c r="C47" s="47">
        <f aca="true" t="shared" si="3" ref="C47:I47">SUM(C40:C46)</f>
        <v>41962735</v>
      </c>
      <c r="D47" s="47">
        <f>SUM(D40:D46)</f>
        <v>0</v>
      </c>
      <c r="E47" s="47">
        <f t="shared" si="3"/>
        <v>4348909</v>
      </c>
      <c r="F47" s="47">
        <f t="shared" si="3"/>
        <v>1184040</v>
      </c>
      <c r="G47" s="47">
        <v>910779</v>
      </c>
      <c r="H47" s="47">
        <f t="shared" si="3"/>
        <v>0</v>
      </c>
      <c r="I47" s="47">
        <f t="shared" si="3"/>
        <v>0</v>
      </c>
      <c r="J47" s="44">
        <f t="shared" si="0"/>
        <v>48406463</v>
      </c>
      <c r="K47" s="126"/>
      <c r="L47" s="126"/>
      <c r="M47" s="126"/>
      <c r="N47" s="126"/>
      <c r="O47" s="126"/>
    </row>
    <row r="48" spans="1:15" s="48" customFormat="1" ht="12.75">
      <c r="A48" s="46" t="s">
        <v>119</v>
      </c>
      <c r="B48" s="47">
        <v>152</v>
      </c>
      <c r="C48" s="47">
        <f aca="true" t="shared" si="4" ref="C48:I48">C32+C39+C47</f>
        <v>45631392</v>
      </c>
      <c r="D48" s="47">
        <f>D32+D39+D47</f>
        <v>0</v>
      </c>
      <c r="E48" s="47">
        <f t="shared" si="4"/>
        <v>4713312</v>
      </c>
      <c r="F48" s="47">
        <f t="shared" si="4"/>
        <v>1314950</v>
      </c>
      <c r="G48" s="47">
        <f t="shared" si="4"/>
        <v>918921</v>
      </c>
      <c r="H48" s="47">
        <f t="shared" si="4"/>
        <v>0</v>
      </c>
      <c r="I48" s="47">
        <f t="shared" si="4"/>
        <v>0</v>
      </c>
      <c r="J48" s="44">
        <f t="shared" si="0"/>
        <v>52578575</v>
      </c>
      <c r="K48" s="126"/>
      <c r="L48" s="126"/>
      <c r="M48" s="126"/>
      <c r="N48" s="126"/>
      <c r="O48" s="126"/>
    </row>
    <row r="49" spans="1:15" s="48" customFormat="1" ht="12.75">
      <c r="A49" s="46" t="s">
        <v>51</v>
      </c>
      <c r="B49" s="47">
        <v>158</v>
      </c>
      <c r="C49" s="51">
        <f>117518+22035+2449</f>
        <v>142002</v>
      </c>
      <c r="D49" s="51"/>
      <c r="E49" s="51">
        <v>14690</v>
      </c>
      <c r="F49" s="51">
        <v>2438</v>
      </c>
      <c r="G49" s="51"/>
      <c r="H49" s="51"/>
      <c r="I49" s="51"/>
      <c r="J49" s="44">
        <f t="shared" si="0"/>
        <v>159130</v>
      </c>
      <c r="K49" s="126"/>
      <c r="L49" s="126"/>
      <c r="M49" s="126"/>
      <c r="N49" s="126"/>
      <c r="O49" s="126"/>
    </row>
    <row r="50" spans="1:15" s="48" customFormat="1" ht="12.75">
      <c r="A50" s="46" t="s">
        <v>75</v>
      </c>
      <c r="B50" s="47">
        <v>159</v>
      </c>
      <c r="C50" s="47">
        <f aca="true" t="shared" si="5" ref="C50:I50">C48+C49</f>
        <v>45773394</v>
      </c>
      <c r="D50" s="47">
        <f>D48+D49</f>
        <v>0</v>
      </c>
      <c r="E50" s="47">
        <f t="shared" si="5"/>
        <v>4728002</v>
      </c>
      <c r="F50" s="47">
        <f t="shared" si="5"/>
        <v>1317388</v>
      </c>
      <c r="G50" s="47">
        <v>918921</v>
      </c>
      <c r="H50" s="47">
        <f t="shared" si="5"/>
        <v>0</v>
      </c>
      <c r="I50" s="47">
        <f t="shared" si="5"/>
        <v>0</v>
      </c>
      <c r="J50" s="44">
        <f t="shared" si="0"/>
        <v>52737705</v>
      </c>
      <c r="K50" s="126"/>
      <c r="L50" s="126"/>
      <c r="M50" s="126"/>
      <c r="N50" s="126"/>
      <c r="O50" s="126"/>
    </row>
    <row r="51" spans="1:14" s="48" customFormat="1" ht="12.75">
      <c r="A51" s="113"/>
      <c r="B51" s="114"/>
      <c r="C51" s="114"/>
      <c r="D51" s="114"/>
      <c r="E51" s="114"/>
      <c r="F51" s="114"/>
      <c r="G51" s="114"/>
      <c r="H51" s="114"/>
      <c r="I51" s="114"/>
      <c r="J51" s="115"/>
      <c r="K51" s="52"/>
      <c r="L51" s="52"/>
      <c r="M51" s="52"/>
      <c r="N51" s="52"/>
    </row>
    <row r="52" spans="1:14" s="48" customFormat="1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39"/>
      <c r="N52" s="135"/>
    </row>
    <row r="53" spans="1:14" s="48" customFormat="1" ht="12.75">
      <c r="A53" s="178" t="s">
        <v>3</v>
      </c>
      <c r="B53" s="136" t="s">
        <v>49</v>
      </c>
      <c r="C53" s="137" t="s">
        <v>188</v>
      </c>
      <c r="D53" s="137" t="s">
        <v>189</v>
      </c>
      <c r="E53" s="137" t="s">
        <v>106</v>
      </c>
      <c r="F53" s="137" t="s">
        <v>190</v>
      </c>
      <c r="G53" s="137" t="s">
        <v>191</v>
      </c>
      <c r="H53" s="137" t="s">
        <v>192</v>
      </c>
      <c r="I53" s="137" t="s">
        <v>192</v>
      </c>
      <c r="J53" s="137" t="s">
        <v>192</v>
      </c>
      <c r="K53" s="191" t="s">
        <v>160</v>
      </c>
      <c r="L53" s="192"/>
      <c r="M53" s="127"/>
      <c r="N53" s="128"/>
    </row>
    <row r="54" spans="1:14" s="48" customFormat="1" ht="12.75">
      <c r="A54" s="179"/>
      <c r="B54" s="54" t="s">
        <v>50</v>
      </c>
      <c r="C54" s="55" t="s">
        <v>105</v>
      </c>
      <c r="D54" s="55" t="s">
        <v>105</v>
      </c>
      <c r="E54" s="55" t="s">
        <v>105</v>
      </c>
      <c r="F54" s="55" t="s">
        <v>109</v>
      </c>
      <c r="G54" s="55" t="s">
        <v>109</v>
      </c>
      <c r="H54" s="55" t="s">
        <v>193</v>
      </c>
      <c r="I54" s="55" t="s">
        <v>194</v>
      </c>
      <c r="J54" s="117" t="s">
        <v>114</v>
      </c>
      <c r="K54" s="54" t="s">
        <v>162</v>
      </c>
      <c r="L54" s="129" t="s">
        <v>161</v>
      </c>
      <c r="M54" s="127"/>
      <c r="N54" s="128"/>
    </row>
    <row r="55" spans="1:16" s="48" customFormat="1" ht="12.75">
      <c r="A55" s="56" t="s">
        <v>63</v>
      </c>
      <c r="B55" s="57">
        <f>IF(A55="","",VLOOKUP(A55,$A$12:$B$50,2,FALSE))</f>
        <v>120</v>
      </c>
      <c r="C55" s="57">
        <v>909652</v>
      </c>
      <c r="D55" s="57"/>
      <c r="E55" s="57">
        <v>94106</v>
      </c>
      <c r="F55" s="57">
        <v>22880</v>
      </c>
      <c r="G55" s="57"/>
      <c r="H55" s="57"/>
      <c r="I55" s="57"/>
      <c r="J55" s="130">
        <f>SUM(C55:I55)</f>
        <v>1026638</v>
      </c>
      <c r="K55" s="57"/>
      <c r="L55" s="58"/>
      <c r="M55" s="131"/>
      <c r="N55" s="114"/>
      <c r="O55" s="116"/>
      <c r="P55" s="132"/>
    </row>
    <row r="56" spans="1:16" s="48" customFormat="1" ht="12.75">
      <c r="A56" s="60" t="s">
        <v>33</v>
      </c>
      <c r="B56" s="61">
        <f>IF(A56="","",VLOOKUP(A56,$A$12:$B$50,2,FALSE))</f>
        <v>84</v>
      </c>
      <c r="C56" s="61">
        <v>79803</v>
      </c>
      <c r="D56" s="61"/>
      <c r="E56" s="61">
        <v>8255</v>
      </c>
      <c r="F56" s="61">
        <v>4160</v>
      </c>
      <c r="G56" s="61"/>
      <c r="H56" s="61"/>
      <c r="I56" s="61"/>
      <c r="J56" s="130">
        <f>SUM(C56:I56)</f>
        <v>92218</v>
      </c>
      <c r="K56" s="61"/>
      <c r="L56" s="62"/>
      <c r="M56" s="131"/>
      <c r="N56" s="114"/>
      <c r="O56" s="116"/>
      <c r="P56" s="132"/>
    </row>
    <row r="57" spans="1:16" s="48" customFormat="1" ht="12.75">
      <c r="A57" s="60" t="s">
        <v>35</v>
      </c>
      <c r="B57" s="61">
        <f>IF(A57="","",VLOOKUP(A57,$A$12:$B$50,2,FALSE))</f>
        <v>86</v>
      </c>
      <c r="C57" s="61">
        <v>215177</v>
      </c>
      <c r="D57" s="61"/>
      <c r="E57" s="61">
        <v>7192</v>
      </c>
      <c r="F57" s="61">
        <v>1950</v>
      </c>
      <c r="G57" s="61"/>
      <c r="H57" s="61"/>
      <c r="I57" s="61"/>
      <c r="J57" s="130">
        <f>SUM(C57:I57)</f>
        <v>224319</v>
      </c>
      <c r="K57" s="61"/>
      <c r="L57" s="62"/>
      <c r="M57" s="131"/>
      <c r="N57" s="114"/>
      <c r="O57" s="116"/>
      <c r="P57" s="132"/>
    </row>
    <row r="58" spans="1:16" ht="12.75">
      <c r="A58" s="60" t="s">
        <v>36</v>
      </c>
      <c r="B58" s="61">
        <f>IF(A58="","",VLOOKUP(A58,$A$12:$B$50,2,FALSE))</f>
        <v>87</v>
      </c>
      <c r="C58" s="61">
        <v>-6192</v>
      </c>
      <c r="D58" s="61"/>
      <c r="E58" s="61">
        <v>-641</v>
      </c>
      <c r="F58" s="61"/>
      <c r="G58" s="61"/>
      <c r="H58" s="61"/>
      <c r="I58" s="61"/>
      <c r="J58" s="130">
        <f>SUM(C58:I58)</f>
        <v>-6833</v>
      </c>
      <c r="K58" s="61"/>
      <c r="L58" s="62"/>
      <c r="M58" s="131"/>
      <c r="N58" s="114"/>
      <c r="O58" s="134"/>
      <c r="P58" s="45"/>
    </row>
    <row r="60" spans="1:6" ht="12.75">
      <c r="A60" s="63" t="s">
        <v>21</v>
      </c>
      <c r="B60" s="175" t="s">
        <v>213</v>
      </c>
      <c r="C60" s="175"/>
      <c r="D60" s="175"/>
      <c r="E60" s="175"/>
      <c r="F60" s="64"/>
    </row>
    <row r="61" spans="8:9" ht="12.75">
      <c r="H61" s="174" t="s">
        <v>211</v>
      </c>
      <c r="I61" s="174"/>
    </row>
    <row r="62" spans="8:9" ht="12.75">
      <c r="H62" s="173" t="s">
        <v>48</v>
      </c>
      <c r="I62" s="173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12" ht="42.75" customHeight="1">
      <c r="A2" s="3" t="s">
        <v>71</v>
      </c>
      <c r="H2" s="4"/>
      <c r="I2" s="4"/>
      <c r="J2" s="5" t="s">
        <v>0</v>
      </c>
      <c r="K2" s="198" t="s">
        <v>212</v>
      </c>
      <c r="L2" s="170"/>
    </row>
    <row r="3" spans="1:12" ht="12.75">
      <c r="A3" s="3"/>
      <c r="H3" s="4"/>
      <c r="I3" s="4"/>
      <c r="J3" s="5" t="s">
        <v>77</v>
      </c>
      <c r="K3" s="169" t="s">
        <v>208</v>
      </c>
      <c r="L3" s="170"/>
    </row>
    <row r="4" ht="18" customHeight="1">
      <c r="A4" s="6"/>
    </row>
    <row r="5" spans="1:13" ht="18">
      <c r="A5" s="172" t="s">
        <v>82</v>
      </c>
      <c r="B5" s="172"/>
      <c r="C5" s="172"/>
      <c r="D5" s="172"/>
      <c r="E5" s="7" t="s">
        <v>83</v>
      </c>
      <c r="F5" s="171" t="s">
        <v>92</v>
      </c>
      <c r="G5" s="171"/>
      <c r="H5" s="171"/>
      <c r="I5" s="171"/>
      <c r="J5" s="171"/>
      <c r="K5" s="171"/>
      <c r="L5" s="171"/>
      <c r="M5" s="17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5" t="s">
        <v>121</v>
      </c>
      <c r="N7" s="196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9" t="s">
        <v>122</v>
      </c>
      <c r="N9" s="190"/>
    </row>
    <row r="10" spans="1:14" ht="13.5" thickBot="1">
      <c r="A10" s="25"/>
      <c r="B10" s="26"/>
      <c r="C10" s="176" t="s">
        <v>101</v>
      </c>
      <c r="D10" s="177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32"/>
      <c r="N10" s="33"/>
    </row>
    <row r="11" spans="1:14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9"/>
    </row>
    <row r="12" spans="1:14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3"/>
      <c r="K12" s="44">
        <f>SUM(C12:J12)</f>
        <v>0</v>
      </c>
      <c r="L12" s="43"/>
      <c r="M12" s="43"/>
      <c r="N12" s="43"/>
    </row>
    <row r="13" spans="1:14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3"/>
      <c r="K13" s="44">
        <f aca="true" t="shared" si="0" ref="K13:K50">SUM(C13:J13)</f>
        <v>0</v>
      </c>
      <c r="L13" s="43"/>
      <c r="M13" s="43"/>
      <c r="N13" s="43"/>
    </row>
    <row r="14" spans="1:14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3"/>
      <c r="K14" s="44">
        <f t="shared" si="0"/>
        <v>0</v>
      </c>
      <c r="L14" s="43"/>
      <c r="M14" s="43"/>
      <c r="N14" s="43"/>
    </row>
    <row r="15" spans="1:14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3"/>
      <c r="K15" s="44">
        <f t="shared" si="0"/>
        <v>0</v>
      </c>
      <c r="L15" s="43"/>
      <c r="M15" s="43"/>
      <c r="N15" s="43"/>
    </row>
    <row r="16" spans="1:14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3"/>
      <c r="K16" s="44">
        <f t="shared" si="0"/>
        <v>0</v>
      </c>
      <c r="L16" s="43"/>
      <c r="M16" s="43"/>
      <c r="N16" s="43"/>
    </row>
    <row r="17" spans="1:14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3"/>
      <c r="K17" s="44">
        <f t="shared" si="0"/>
        <v>0</v>
      </c>
      <c r="L17" s="43"/>
      <c r="M17" s="43"/>
      <c r="N17" s="43"/>
    </row>
    <row r="18" spans="1:14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3"/>
      <c r="K18" s="44">
        <f t="shared" si="0"/>
        <v>0</v>
      </c>
      <c r="L18" s="43"/>
      <c r="M18" s="43"/>
      <c r="N18" s="43"/>
    </row>
    <row r="19" spans="1:14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3"/>
      <c r="K19" s="44">
        <f t="shared" si="0"/>
        <v>0</v>
      </c>
      <c r="L19" s="43"/>
      <c r="M19" s="43"/>
      <c r="N19" s="43"/>
    </row>
    <row r="20" spans="1:14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3"/>
      <c r="K20" s="44">
        <f t="shared" si="0"/>
        <v>0</v>
      </c>
      <c r="L20" s="43"/>
      <c r="M20" s="43"/>
      <c r="N20" s="43"/>
    </row>
    <row r="21" spans="1:14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3"/>
      <c r="K21" s="44">
        <f t="shared" si="0"/>
        <v>0</v>
      </c>
      <c r="L21" s="43"/>
      <c r="M21" s="43"/>
      <c r="N21" s="43"/>
    </row>
    <row r="22" spans="1:21" s="45" customFormat="1" ht="12.75" customHeight="1">
      <c r="A22" s="41" t="s">
        <v>38</v>
      </c>
      <c r="B22" s="42">
        <v>81</v>
      </c>
      <c r="C22" s="163">
        <v>501400</v>
      </c>
      <c r="D22" s="163">
        <v>41784</v>
      </c>
      <c r="E22" s="163">
        <v>0</v>
      </c>
      <c r="F22" s="163">
        <v>0</v>
      </c>
      <c r="G22" s="163">
        <v>0</v>
      </c>
      <c r="H22" s="163">
        <v>0</v>
      </c>
      <c r="I22" s="43"/>
      <c r="J22" s="43">
        <v>41784</v>
      </c>
      <c r="K22" s="44">
        <f t="shared" si="0"/>
        <v>584968</v>
      </c>
      <c r="L22" s="163">
        <v>0</v>
      </c>
      <c r="M22" s="43">
        <v>5</v>
      </c>
      <c r="N22" s="43">
        <v>5</v>
      </c>
      <c r="O22" s="2"/>
      <c r="P22" s="2"/>
      <c r="Q22" s="2"/>
      <c r="R22" s="2"/>
      <c r="S22" s="2"/>
      <c r="T22" s="2"/>
      <c r="U22" s="2"/>
    </row>
    <row r="23" spans="1:14" ht="12.75">
      <c r="A23" s="41" t="s">
        <v>39</v>
      </c>
      <c r="B23" s="42">
        <v>82</v>
      </c>
      <c r="C23" s="163">
        <v>115420</v>
      </c>
      <c r="D23" s="163">
        <v>9618</v>
      </c>
      <c r="E23" s="163">
        <v>0</v>
      </c>
      <c r="F23" s="163">
        <v>0</v>
      </c>
      <c r="G23" s="163">
        <v>0</v>
      </c>
      <c r="H23" s="163">
        <v>0</v>
      </c>
      <c r="I23" s="43"/>
      <c r="J23" s="43">
        <v>9618</v>
      </c>
      <c r="K23" s="44">
        <f t="shared" si="0"/>
        <v>134656</v>
      </c>
      <c r="L23" s="163">
        <v>0</v>
      </c>
      <c r="M23" s="43">
        <v>1</v>
      </c>
      <c r="N23" s="43">
        <v>0</v>
      </c>
    </row>
    <row r="24" spans="1:14" ht="12.75">
      <c r="A24" s="41" t="s">
        <v>32</v>
      </c>
      <c r="B24" s="42">
        <v>83</v>
      </c>
      <c r="C24" s="163">
        <v>387745</v>
      </c>
      <c r="D24" s="163">
        <v>42405</v>
      </c>
      <c r="E24" s="163">
        <v>0</v>
      </c>
      <c r="F24" s="163">
        <v>0</v>
      </c>
      <c r="G24" s="163">
        <v>0</v>
      </c>
      <c r="H24" s="163">
        <v>37055</v>
      </c>
      <c r="I24" s="43"/>
      <c r="J24" s="43">
        <v>42405</v>
      </c>
      <c r="K24" s="44">
        <f t="shared" si="0"/>
        <v>509610</v>
      </c>
      <c r="L24" s="163">
        <v>0</v>
      </c>
      <c r="M24" s="43">
        <v>4</v>
      </c>
      <c r="N24" s="43">
        <v>5</v>
      </c>
    </row>
    <row r="25" spans="1:14" ht="12.75">
      <c r="A25" s="41" t="s">
        <v>33</v>
      </c>
      <c r="B25" s="42">
        <v>84</v>
      </c>
      <c r="C25" s="163">
        <v>5343337</v>
      </c>
      <c r="D25" s="163">
        <v>406895</v>
      </c>
      <c r="E25" s="163">
        <v>0</v>
      </c>
      <c r="F25" s="163">
        <v>0</v>
      </c>
      <c r="G25" s="163">
        <v>0</v>
      </c>
      <c r="H25" s="163">
        <v>171881</v>
      </c>
      <c r="I25" s="43"/>
      <c r="J25" s="43">
        <v>406895</v>
      </c>
      <c r="K25" s="44">
        <f t="shared" si="0"/>
        <v>6329008</v>
      </c>
      <c r="L25" s="163">
        <v>22418</v>
      </c>
      <c r="M25" s="43">
        <v>41</v>
      </c>
      <c r="N25" s="43">
        <v>32</v>
      </c>
    </row>
    <row r="26" spans="1:14" ht="12.75">
      <c r="A26" s="41" t="s">
        <v>34</v>
      </c>
      <c r="B26" s="42">
        <v>85</v>
      </c>
      <c r="C26" s="163">
        <v>268672</v>
      </c>
      <c r="D26" s="163">
        <v>43227</v>
      </c>
      <c r="E26" s="163">
        <v>0</v>
      </c>
      <c r="F26" s="163">
        <v>0</v>
      </c>
      <c r="G26" s="163">
        <v>9565</v>
      </c>
      <c r="H26" s="163">
        <v>95104</v>
      </c>
      <c r="I26" s="43"/>
      <c r="J26" s="43">
        <v>43227</v>
      </c>
      <c r="K26" s="44">
        <f t="shared" si="0"/>
        <v>459795</v>
      </c>
      <c r="L26" s="163">
        <v>0</v>
      </c>
      <c r="M26" s="43">
        <v>3</v>
      </c>
      <c r="N26" s="43">
        <v>1</v>
      </c>
    </row>
    <row r="27" spans="1:14" ht="12.75">
      <c r="A27" s="41" t="s">
        <v>35</v>
      </c>
      <c r="B27" s="42">
        <v>86</v>
      </c>
      <c r="C27" s="163">
        <v>1419900</v>
      </c>
      <c r="D27" s="163">
        <v>118325</v>
      </c>
      <c r="E27" s="163">
        <v>0</v>
      </c>
      <c r="F27" s="163">
        <v>0</v>
      </c>
      <c r="G27" s="163">
        <v>0</v>
      </c>
      <c r="H27" s="163">
        <v>0</v>
      </c>
      <c r="I27" s="43"/>
      <c r="J27" s="43">
        <v>118325</v>
      </c>
      <c r="K27" s="44">
        <f t="shared" si="0"/>
        <v>1656550</v>
      </c>
      <c r="L27" s="163">
        <v>0</v>
      </c>
      <c r="M27" s="43">
        <v>6</v>
      </c>
      <c r="N27" s="43">
        <v>4</v>
      </c>
    </row>
    <row r="28" spans="1:14" ht="12.75">
      <c r="A28" s="41" t="s">
        <v>36</v>
      </c>
      <c r="B28" s="42">
        <v>87</v>
      </c>
      <c r="C28" s="163">
        <v>260300</v>
      </c>
      <c r="D28" s="163">
        <v>21692</v>
      </c>
      <c r="E28" s="163">
        <v>0</v>
      </c>
      <c r="F28" s="163">
        <v>0</v>
      </c>
      <c r="G28" s="163">
        <v>30000</v>
      </c>
      <c r="H28" s="163">
        <v>39200</v>
      </c>
      <c r="I28" s="43"/>
      <c r="J28" s="43">
        <v>21692</v>
      </c>
      <c r="K28" s="44">
        <f t="shared" si="0"/>
        <v>372884</v>
      </c>
      <c r="L28" s="163">
        <v>0</v>
      </c>
      <c r="M28" s="43">
        <v>1</v>
      </c>
      <c r="N28" s="43">
        <v>1</v>
      </c>
    </row>
    <row r="29" spans="1:14" ht="12.75">
      <c r="A29" s="41" t="s">
        <v>37</v>
      </c>
      <c r="B29" s="42">
        <v>88</v>
      </c>
      <c r="C29" s="163">
        <v>797400</v>
      </c>
      <c r="D29" s="163">
        <v>46450</v>
      </c>
      <c r="E29" s="163">
        <v>0</v>
      </c>
      <c r="F29" s="163">
        <v>0</v>
      </c>
      <c r="G29" s="163">
        <v>0</v>
      </c>
      <c r="H29" s="163">
        <v>39200</v>
      </c>
      <c r="I29" s="43"/>
      <c r="J29" s="43">
        <v>46450</v>
      </c>
      <c r="K29" s="44">
        <f t="shared" si="0"/>
        <v>929500</v>
      </c>
      <c r="L29" s="163">
        <v>0</v>
      </c>
      <c r="M29" s="43">
        <v>3</v>
      </c>
      <c r="N29" s="43">
        <v>3</v>
      </c>
    </row>
    <row r="30" spans="1:14" ht="12.75">
      <c r="A30" s="41" t="s">
        <v>40</v>
      </c>
      <c r="B30" s="42">
        <v>89</v>
      </c>
      <c r="C30" s="163">
        <v>1232600</v>
      </c>
      <c r="D30" s="163">
        <v>102717</v>
      </c>
      <c r="E30" s="163">
        <v>0</v>
      </c>
      <c r="F30" s="163">
        <v>0</v>
      </c>
      <c r="G30" s="163">
        <v>0</v>
      </c>
      <c r="H30" s="163">
        <v>0</v>
      </c>
      <c r="I30" s="43"/>
      <c r="J30" s="43">
        <v>102717</v>
      </c>
      <c r="K30" s="44">
        <f t="shared" si="0"/>
        <v>1438034</v>
      </c>
      <c r="L30" s="163">
        <v>161269</v>
      </c>
      <c r="M30" s="43">
        <v>4</v>
      </c>
      <c r="N30" s="43">
        <v>0</v>
      </c>
    </row>
    <row r="31" spans="1:14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3"/>
      <c r="K31" s="44">
        <f t="shared" si="0"/>
        <v>0</v>
      </c>
      <c r="L31" s="43"/>
      <c r="M31" s="43"/>
      <c r="N31" s="43">
        <v>0</v>
      </c>
    </row>
    <row r="32" spans="1:14" s="48" customFormat="1" ht="12.75">
      <c r="A32" s="46" t="s">
        <v>73</v>
      </c>
      <c r="B32" s="42">
        <v>92</v>
      </c>
      <c r="C32" s="47">
        <f>SUM(C12:C31)</f>
        <v>10326774</v>
      </c>
      <c r="D32" s="47">
        <f aca="true" t="shared" si="1" ref="D32:J32">SUM(D12:D31)</f>
        <v>833113</v>
      </c>
      <c r="E32" s="47">
        <f t="shared" si="1"/>
        <v>0</v>
      </c>
      <c r="F32" s="47">
        <f t="shared" si="1"/>
        <v>0</v>
      </c>
      <c r="G32" s="47">
        <f t="shared" si="1"/>
        <v>39565</v>
      </c>
      <c r="H32" s="47">
        <f t="shared" si="1"/>
        <v>382440</v>
      </c>
      <c r="I32" s="47">
        <f t="shared" si="1"/>
        <v>0</v>
      </c>
      <c r="J32" s="47">
        <f t="shared" si="1"/>
        <v>833113</v>
      </c>
      <c r="K32" s="44">
        <f t="shared" si="0"/>
        <v>12415005</v>
      </c>
      <c r="L32" s="47">
        <f>SUM(L12:L31)</f>
        <v>183687</v>
      </c>
      <c r="M32" s="47">
        <f>SUM(M12:M31)</f>
        <v>68</v>
      </c>
      <c r="N32" s="47">
        <f>SUM(N12:N31)</f>
        <v>51</v>
      </c>
    </row>
    <row r="33" spans="1:14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3"/>
      <c r="K33" s="44">
        <f t="shared" si="0"/>
        <v>0</v>
      </c>
      <c r="L33" s="43"/>
      <c r="M33" s="43"/>
      <c r="N33" s="43"/>
    </row>
    <row r="34" spans="1:14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3"/>
      <c r="K34" s="44">
        <f t="shared" si="0"/>
        <v>0</v>
      </c>
      <c r="L34" s="43"/>
      <c r="M34" s="43"/>
      <c r="N34" s="43"/>
    </row>
    <row r="35" spans="1:14" s="48" customFormat="1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3"/>
      <c r="K35" s="44">
        <f t="shared" si="0"/>
        <v>0</v>
      </c>
      <c r="L35" s="43"/>
      <c r="M35" s="43"/>
      <c r="N35" s="43"/>
    </row>
    <row r="36" spans="1:14" s="48" customFormat="1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3"/>
      <c r="K36" s="44">
        <f t="shared" si="0"/>
        <v>0</v>
      </c>
      <c r="L36" s="43"/>
      <c r="M36" s="43"/>
      <c r="N36" s="43"/>
    </row>
    <row r="37" spans="1:14" s="48" customFormat="1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3"/>
      <c r="K37" s="44">
        <f t="shared" si="0"/>
        <v>0</v>
      </c>
      <c r="L37" s="43"/>
      <c r="M37" s="43"/>
      <c r="N37" s="43"/>
    </row>
    <row r="38" spans="1:14" s="112" customFormat="1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3"/>
      <c r="K38" s="44">
        <f t="shared" si="0"/>
        <v>0</v>
      </c>
      <c r="L38" s="43"/>
      <c r="M38" s="43"/>
      <c r="N38" s="43"/>
    </row>
    <row r="39" spans="1:14" ht="12.75">
      <c r="A39" s="46" t="s">
        <v>72</v>
      </c>
      <c r="B39" s="42">
        <v>110</v>
      </c>
      <c r="C39" s="47">
        <f>SUM(C33:C38)</f>
        <v>0</v>
      </c>
      <c r="D39" s="47">
        <f aca="true" t="shared" si="2" ref="D39:J39"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44">
        <f t="shared" si="0"/>
        <v>0</v>
      </c>
      <c r="L39" s="47">
        <f>SUM(L33:L38)</f>
        <v>0</v>
      </c>
      <c r="M39" s="47">
        <f>SUM(M33:M38)</f>
        <v>0</v>
      </c>
      <c r="N39" s="47">
        <f>SUM(N33:N38)</f>
        <v>0</v>
      </c>
    </row>
    <row r="40" spans="1:14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3"/>
      <c r="K40" s="44">
        <f t="shared" si="0"/>
        <v>0</v>
      </c>
      <c r="L40" s="43"/>
      <c r="M40" s="43"/>
      <c r="N40" s="43"/>
    </row>
    <row r="41" spans="1:14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3"/>
      <c r="K41" s="44">
        <f t="shared" si="0"/>
        <v>0</v>
      </c>
      <c r="L41" s="43"/>
      <c r="M41" s="43"/>
      <c r="N41" s="43"/>
    </row>
    <row r="42" spans="1:14" ht="12.75">
      <c r="A42" s="50" t="s">
        <v>59</v>
      </c>
      <c r="B42" s="42">
        <v>113</v>
      </c>
      <c r="C42" s="163">
        <v>309200</v>
      </c>
      <c r="D42" s="163">
        <v>47829</v>
      </c>
      <c r="E42" s="163">
        <v>36718</v>
      </c>
      <c r="F42" s="163">
        <v>92760</v>
      </c>
      <c r="G42" s="163">
        <v>15460</v>
      </c>
      <c r="H42" s="163">
        <v>119815</v>
      </c>
      <c r="I42" s="43"/>
      <c r="J42" s="43">
        <v>47829</v>
      </c>
      <c r="K42" s="44">
        <f t="shared" si="0"/>
        <v>669611</v>
      </c>
      <c r="L42" s="163">
        <v>96625</v>
      </c>
      <c r="M42" s="43">
        <v>1</v>
      </c>
      <c r="N42" s="43">
        <v>1</v>
      </c>
    </row>
    <row r="43" spans="1:14" ht="12.75">
      <c r="A43" s="50" t="s">
        <v>60</v>
      </c>
      <c r="B43" s="42">
        <v>114</v>
      </c>
      <c r="C43" s="163">
        <v>1159500</v>
      </c>
      <c r="D43" s="163">
        <v>159947</v>
      </c>
      <c r="E43" s="163">
        <v>111314</v>
      </c>
      <c r="F43" s="163">
        <v>347852</v>
      </c>
      <c r="G43" s="163">
        <v>52178</v>
      </c>
      <c r="H43" s="163">
        <v>248519</v>
      </c>
      <c r="I43" s="43"/>
      <c r="J43" s="43">
        <v>159947</v>
      </c>
      <c r="K43" s="44">
        <f t="shared" si="0"/>
        <v>2239257</v>
      </c>
      <c r="L43" s="163">
        <v>386500</v>
      </c>
      <c r="M43" s="43">
        <v>4</v>
      </c>
      <c r="N43" s="43">
        <v>4</v>
      </c>
    </row>
    <row r="44" spans="1:14" ht="12.75">
      <c r="A44" s="50" t="s">
        <v>61</v>
      </c>
      <c r="B44" s="42">
        <v>115</v>
      </c>
      <c r="C44" s="163">
        <v>4869900</v>
      </c>
      <c r="D44" s="163">
        <v>591636</v>
      </c>
      <c r="E44" s="163">
        <v>483520</v>
      </c>
      <c r="F44" s="163">
        <v>1420388</v>
      </c>
      <c r="G44" s="163">
        <v>222238</v>
      </c>
      <c r="H44" s="163">
        <v>538111</v>
      </c>
      <c r="I44" s="43"/>
      <c r="J44" s="43">
        <v>591636</v>
      </c>
      <c r="K44" s="44">
        <f t="shared" si="0"/>
        <v>8717429</v>
      </c>
      <c r="L44" s="163">
        <v>1739250</v>
      </c>
      <c r="M44" s="43">
        <v>16</v>
      </c>
      <c r="N44" s="43">
        <v>16</v>
      </c>
    </row>
    <row r="45" spans="1:14" ht="12.75">
      <c r="A45" s="50" t="s">
        <v>62</v>
      </c>
      <c r="B45" s="42">
        <v>119</v>
      </c>
      <c r="C45" s="163">
        <v>15373841</v>
      </c>
      <c r="D45" s="163">
        <v>1907155</v>
      </c>
      <c r="E45" s="163">
        <v>1725909</v>
      </c>
      <c r="F45" s="163">
        <v>4333690</v>
      </c>
      <c r="G45" s="163">
        <v>1350824</v>
      </c>
      <c r="H45" s="163">
        <v>389358</v>
      </c>
      <c r="I45" s="43"/>
      <c r="J45" s="43">
        <v>1907155</v>
      </c>
      <c r="K45" s="44">
        <f t="shared" si="0"/>
        <v>26987932</v>
      </c>
      <c r="L45" s="163">
        <v>7060365</v>
      </c>
      <c r="M45" s="43">
        <v>80</v>
      </c>
      <c r="N45" s="43">
        <v>89</v>
      </c>
    </row>
    <row r="46" spans="1:14" ht="12.75">
      <c r="A46" s="50" t="s">
        <v>63</v>
      </c>
      <c r="B46" s="42">
        <v>120</v>
      </c>
      <c r="C46" s="163">
        <v>57305161</v>
      </c>
      <c r="D46" s="163">
        <v>6739978</v>
      </c>
      <c r="E46" s="163">
        <v>8354062</v>
      </c>
      <c r="F46" s="163">
        <v>8869293</v>
      </c>
      <c r="G46" s="163">
        <v>560737</v>
      </c>
      <c r="H46" s="163">
        <v>13032166</v>
      </c>
      <c r="I46" s="43"/>
      <c r="J46" s="43">
        <v>6739978</v>
      </c>
      <c r="K46" s="44">
        <f t="shared" si="0"/>
        <v>101601375</v>
      </c>
      <c r="L46" s="163">
        <v>43589762</v>
      </c>
      <c r="M46" s="43">
        <v>538</v>
      </c>
      <c r="N46" s="43">
        <v>631</v>
      </c>
    </row>
    <row r="47" spans="1:14" ht="12.75">
      <c r="A47" s="46" t="s">
        <v>74</v>
      </c>
      <c r="B47" s="47">
        <v>121</v>
      </c>
      <c r="C47" s="47">
        <f>SUM(C40:C46)</f>
        <v>79017602</v>
      </c>
      <c r="D47" s="47">
        <f aca="true" t="shared" si="3" ref="D47:J47">SUM(D40:D46)</f>
        <v>9446545</v>
      </c>
      <c r="E47" s="47">
        <f t="shared" si="3"/>
        <v>10711523</v>
      </c>
      <c r="F47" s="47">
        <f t="shared" si="3"/>
        <v>15063983</v>
      </c>
      <c r="G47" s="47">
        <f t="shared" si="3"/>
        <v>2201437</v>
      </c>
      <c r="H47" s="47">
        <f t="shared" si="3"/>
        <v>14327969</v>
      </c>
      <c r="I47" s="47">
        <f t="shared" si="3"/>
        <v>0</v>
      </c>
      <c r="J47" s="47">
        <f t="shared" si="3"/>
        <v>9446545</v>
      </c>
      <c r="K47" s="44">
        <f t="shared" si="0"/>
        <v>140215604</v>
      </c>
      <c r="L47" s="47">
        <f>SUM(L40:L46)</f>
        <v>52872502</v>
      </c>
      <c r="M47" s="47">
        <f>SUM(M40:M46)</f>
        <v>639</v>
      </c>
      <c r="N47" s="47">
        <f>SUM(N40:N46)</f>
        <v>741</v>
      </c>
    </row>
    <row r="48" spans="1:14" ht="12.75">
      <c r="A48" s="46" t="s">
        <v>119</v>
      </c>
      <c r="B48" s="47">
        <v>152</v>
      </c>
      <c r="C48" s="47">
        <f>C32+C39+C47</f>
        <v>89344376</v>
      </c>
      <c r="D48" s="47">
        <f aca="true" t="shared" si="4" ref="D48:J48">D32+D39+D47</f>
        <v>10279658</v>
      </c>
      <c r="E48" s="47">
        <f t="shared" si="4"/>
        <v>10711523</v>
      </c>
      <c r="F48" s="47">
        <f t="shared" si="4"/>
        <v>15063983</v>
      </c>
      <c r="G48" s="47">
        <f t="shared" si="4"/>
        <v>2241002</v>
      </c>
      <c r="H48" s="47">
        <f t="shared" si="4"/>
        <v>14710409</v>
      </c>
      <c r="I48" s="47">
        <f t="shared" si="4"/>
        <v>0</v>
      </c>
      <c r="J48" s="47">
        <f t="shared" si="4"/>
        <v>10279658</v>
      </c>
      <c r="K48" s="44">
        <f t="shared" si="0"/>
        <v>152630609</v>
      </c>
      <c r="L48" s="47">
        <f>L32+L39+L47</f>
        <v>53056189</v>
      </c>
      <c r="M48" s="47">
        <f>M32+M39+M47</f>
        <v>707</v>
      </c>
      <c r="N48" s="47">
        <f>N32+N39+N47</f>
        <v>792</v>
      </c>
    </row>
    <row r="49" spans="1:14" ht="12.75">
      <c r="A49" s="46" t="s">
        <v>51</v>
      </c>
      <c r="B49" s="47">
        <v>158</v>
      </c>
      <c r="C49" s="163">
        <v>542072</v>
      </c>
      <c r="D49" s="163">
        <v>36159</v>
      </c>
      <c r="E49" s="163">
        <v>0</v>
      </c>
      <c r="F49" s="163">
        <v>0</v>
      </c>
      <c r="G49" s="163">
        <v>0</v>
      </c>
      <c r="H49" s="163">
        <v>19600</v>
      </c>
      <c r="I49" s="51"/>
      <c r="J49" s="51">
        <v>36159</v>
      </c>
      <c r="K49" s="44">
        <f t="shared" si="0"/>
        <v>633990</v>
      </c>
      <c r="L49" s="163">
        <v>60002</v>
      </c>
      <c r="M49" s="51">
        <v>3</v>
      </c>
      <c r="N49" s="51">
        <v>3</v>
      </c>
    </row>
    <row r="50" spans="1:14" ht="12.75">
      <c r="A50" s="46" t="s">
        <v>75</v>
      </c>
      <c r="B50" s="47">
        <v>159</v>
      </c>
      <c r="C50" s="47">
        <f>C48+C49</f>
        <v>89886448</v>
      </c>
      <c r="D50" s="47">
        <f aca="true" t="shared" si="5" ref="D50:J50">D48+D49</f>
        <v>10315817</v>
      </c>
      <c r="E50" s="47">
        <f t="shared" si="5"/>
        <v>10711523</v>
      </c>
      <c r="F50" s="47">
        <f t="shared" si="5"/>
        <v>15063983</v>
      </c>
      <c r="G50" s="47">
        <f t="shared" si="5"/>
        <v>2241002</v>
      </c>
      <c r="H50" s="47">
        <f t="shared" si="5"/>
        <v>14730009</v>
      </c>
      <c r="I50" s="47">
        <f t="shared" si="5"/>
        <v>0</v>
      </c>
      <c r="J50" s="47">
        <f t="shared" si="5"/>
        <v>10315817</v>
      </c>
      <c r="K50" s="44">
        <f t="shared" si="0"/>
        <v>153264599</v>
      </c>
      <c r="L50" s="47">
        <f>L48+L49</f>
        <v>53116191</v>
      </c>
      <c r="M50" s="47">
        <f>M48+M49</f>
        <v>710</v>
      </c>
      <c r="N50" s="47">
        <f>N48+N49</f>
        <v>795</v>
      </c>
    </row>
    <row r="51" spans="1:14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5"/>
      <c r="L51" s="114"/>
      <c r="M51" s="114"/>
      <c r="N51" s="116"/>
    </row>
    <row r="52" spans="1:14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7"/>
      <c r="N52" s="116"/>
    </row>
    <row r="53" spans="1:14" ht="12.75">
      <c r="A53" s="178" t="s">
        <v>3</v>
      </c>
      <c r="B53" s="136" t="s">
        <v>49</v>
      </c>
      <c r="C53" s="137" t="s">
        <v>4</v>
      </c>
      <c r="D53" s="137" t="s">
        <v>5</v>
      </c>
      <c r="E53" s="137" t="s">
        <v>6</v>
      </c>
      <c r="F53" s="137" t="s">
        <v>80</v>
      </c>
      <c r="G53" s="137" t="s">
        <v>81</v>
      </c>
      <c r="H53" s="137" t="s">
        <v>7</v>
      </c>
      <c r="I53" s="137" t="s">
        <v>42</v>
      </c>
      <c r="J53" s="137" t="s">
        <v>78</v>
      </c>
      <c r="K53" s="138" t="s">
        <v>155</v>
      </c>
      <c r="L53" s="137" t="s">
        <v>157</v>
      </c>
      <c r="M53" s="137" t="s">
        <v>159</v>
      </c>
      <c r="N53" s="116"/>
    </row>
    <row r="54" spans="1:14" ht="12.75">
      <c r="A54" s="179"/>
      <c r="B54" s="54" t="s">
        <v>50</v>
      </c>
      <c r="C54" s="55" t="s">
        <v>9</v>
      </c>
      <c r="D54" s="55" t="s">
        <v>10</v>
      </c>
      <c r="E54" s="55" t="s">
        <v>11</v>
      </c>
      <c r="F54" s="55" t="s">
        <v>10</v>
      </c>
      <c r="G54" s="55" t="s">
        <v>12</v>
      </c>
      <c r="H54" s="55" t="s">
        <v>13</v>
      </c>
      <c r="I54" s="55" t="s">
        <v>43</v>
      </c>
      <c r="J54" s="55" t="s">
        <v>79</v>
      </c>
      <c r="K54" s="117" t="s">
        <v>156</v>
      </c>
      <c r="L54" s="55" t="s">
        <v>158</v>
      </c>
      <c r="M54" s="55" t="s">
        <v>54</v>
      </c>
      <c r="N54" s="116"/>
    </row>
    <row r="55" spans="1:15" ht="12.75">
      <c r="A55" s="56" t="s">
        <v>63</v>
      </c>
      <c r="B55" s="57">
        <f>IF(A55="","",VLOOKUP(A55,$A$12:$B$50,2,FALSE))</f>
        <v>120</v>
      </c>
      <c r="C55" s="57">
        <v>398462</v>
      </c>
      <c r="D55" s="57">
        <v>60442</v>
      </c>
      <c r="E55" s="57">
        <v>59771</v>
      </c>
      <c r="F55" s="57">
        <v>22454</v>
      </c>
      <c r="G55" s="57">
        <v>79426</v>
      </c>
      <c r="H55" s="57"/>
      <c r="I55" s="57"/>
      <c r="J55" s="57">
        <v>133625</v>
      </c>
      <c r="K55" s="118">
        <f>SUM(C55:J55)</f>
        <v>754180</v>
      </c>
      <c r="L55" s="57">
        <v>2299751</v>
      </c>
      <c r="M55" s="58">
        <v>9</v>
      </c>
      <c r="N55" s="119"/>
      <c r="O55" s="45"/>
    </row>
    <row r="56" spans="1:15" ht="12.75">
      <c r="A56" s="60" t="s">
        <v>32</v>
      </c>
      <c r="B56" s="61">
        <f>IF(A56="","",VLOOKUP(A56,$A$12:$B$50,2,FALSE))</f>
        <v>83</v>
      </c>
      <c r="C56" s="61">
        <v>3085</v>
      </c>
      <c r="D56" s="61"/>
      <c r="E56" s="61"/>
      <c r="F56" s="61"/>
      <c r="G56" s="61"/>
      <c r="H56" s="61"/>
      <c r="I56" s="61"/>
      <c r="J56" s="61">
        <v>10350</v>
      </c>
      <c r="K56" s="118">
        <f>SUM(C56:J56)</f>
        <v>13435</v>
      </c>
      <c r="L56" s="61"/>
      <c r="M56" s="62">
        <v>1</v>
      </c>
      <c r="N56" s="119"/>
      <c r="O56" s="45"/>
    </row>
    <row r="57" spans="1:15" ht="12.75">
      <c r="A57" s="60" t="s">
        <v>33</v>
      </c>
      <c r="B57" s="61">
        <f>IF(A57="","",VLOOKUP(A57,$A$12:$B$50,2,FALSE))</f>
        <v>84</v>
      </c>
      <c r="C57" s="61">
        <v>104807</v>
      </c>
      <c r="D57" s="61"/>
      <c r="E57" s="61"/>
      <c r="F57" s="61"/>
      <c r="G57" s="61"/>
      <c r="H57" s="61"/>
      <c r="I57" s="61"/>
      <c r="J57" s="61">
        <v>-9083</v>
      </c>
      <c r="K57" s="118">
        <f>SUM(C57:J57)</f>
        <v>95724</v>
      </c>
      <c r="L57" s="61"/>
      <c r="M57" s="62">
        <v>2</v>
      </c>
      <c r="N57" s="119"/>
      <c r="O57" s="45"/>
    </row>
    <row r="58" spans="1:15" ht="12.75">
      <c r="A58" s="60" t="s">
        <v>40</v>
      </c>
      <c r="B58" s="61">
        <f>IF(A58="","",VLOOKUP(A58,$A$12:$B$50,2,FALSE))</f>
        <v>89</v>
      </c>
      <c r="C58" s="61">
        <v>108172</v>
      </c>
      <c r="D58" s="61"/>
      <c r="E58" s="61"/>
      <c r="F58" s="61"/>
      <c r="G58" s="61"/>
      <c r="H58" s="61"/>
      <c r="I58" s="61"/>
      <c r="J58" s="61"/>
      <c r="K58" s="118">
        <f>SUM(C58:J58)</f>
        <v>108172</v>
      </c>
      <c r="L58" s="61"/>
      <c r="M58" s="62">
        <v>1</v>
      </c>
      <c r="N58" s="59"/>
      <c r="O58" s="45"/>
    </row>
    <row r="60" spans="1:5" ht="12.75">
      <c r="A60" s="63" t="s">
        <v>21</v>
      </c>
      <c r="B60" s="175" t="s">
        <v>214</v>
      </c>
      <c r="C60" s="175"/>
      <c r="D60" s="175"/>
      <c r="E60" s="64"/>
    </row>
    <row r="61" spans="10:11" ht="12.75">
      <c r="J61" s="174" t="s">
        <v>211</v>
      </c>
      <c r="K61" s="174"/>
    </row>
    <row r="62" spans="10:11" ht="12.75">
      <c r="J62" s="173" t="s">
        <v>48</v>
      </c>
      <c r="K62" s="173"/>
    </row>
  </sheetData>
  <sheetProtection/>
  <mergeCells count="14">
    <mergeCell ref="A53:A54"/>
    <mergeCell ref="A52:M52"/>
    <mergeCell ref="K3:L3"/>
    <mergeCell ref="K2:L2"/>
    <mergeCell ref="B60:D60"/>
    <mergeCell ref="J61:K61"/>
    <mergeCell ref="J62:K62"/>
    <mergeCell ref="F5:M5"/>
    <mergeCell ref="A5:D5"/>
    <mergeCell ref="C10:D10"/>
    <mergeCell ref="M9:N9"/>
    <mergeCell ref="M7:M8"/>
    <mergeCell ref="N7:N8"/>
    <mergeCell ref="C7:D7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7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9" ht="48.75" customHeight="1">
      <c r="A2" s="3" t="s">
        <v>71</v>
      </c>
      <c r="G2" s="5" t="s">
        <v>0</v>
      </c>
      <c r="H2" s="198" t="s">
        <v>212</v>
      </c>
      <c r="I2" s="170"/>
    </row>
    <row r="3" spans="1:9" ht="12.75">
      <c r="A3" s="3"/>
      <c r="G3" s="5" t="s">
        <v>77</v>
      </c>
      <c r="H3" s="169" t="s">
        <v>208</v>
      </c>
      <c r="I3" s="170"/>
    </row>
    <row r="4" ht="18" customHeight="1">
      <c r="A4" s="6"/>
    </row>
    <row r="5" spans="1:10" ht="18">
      <c r="A5" s="172" t="s">
        <v>85</v>
      </c>
      <c r="B5" s="172"/>
      <c r="C5" s="172"/>
      <c r="D5" s="172"/>
      <c r="E5" s="172"/>
      <c r="F5" s="7" t="s">
        <v>83</v>
      </c>
      <c r="G5" s="171" t="s">
        <v>169</v>
      </c>
      <c r="H5" s="171"/>
      <c r="I5" s="171"/>
      <c r="J5" s="17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21" t="s">
        <v>115</v>
      </c>
      <c r="E7" s="121"/>
      <c r="F7" s="16" t="s">
        <v>107</v>
      </c>
      <c r="G7" s="16" t="s">
        <v>110</v>
      </c>
      <c r="H7" s="16" t="s">
        <v>112</v>
      </c>
      <c r="I7" s="16" t="s">
        <v>112</v>
      </c>
      <c r="J7" s="122" t="s">
        <v>112</v>
      </c>
    </row>
    <row r="8" spans="1:10" ht="12.75">
      <c r="A8" s="123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4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4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7" t="s">
        <v>181</v>
      </c>
      <c r="G10" s="27" t="s">
        <v>183</v>
      </c>
      <c r="H10" s="27" t="s">
        <v>187</v>
      </c>
      <c r="I10" s="27" t="s">
        <v>184</v>
      </c>
      <c r="J10" s="146" t="s">
        <v>182</v>
      </c>
    </row>
    <row r="11" spans="1:10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125"/>
    </row>
    <row r="12" spans="1:15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4">
        <f>SUM(C12:I12)</f>
        <v>0</v>
      </c>
      <c r="K12" s="64"/>
      <c r="L12" s="64"/>
      <c r="M12" s="64"/>
      <c r="N12" s="64"/>
      <c r="O12" s="64"/>
    </row>
    <row r="13" spans="1:15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4">
        <f aca="true" t="shared" si="0" ref="J13:J50">SUM(C13:I13)</f>
        <v>0</v>
      </c>
      <c r="K13" s="64"/>
      <c r="L13" s="64"/>
      <c r="M13" s="64"/>
      <c r="N13" s="64"/>
      <c r="O13" s="64"/>
    </row>
    <row r="14" spans="1:15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4">
        <f t="shared" si="0"/>
        <v>0</v>
      </c>
      <c r="K14" s="64"/>
      <c r="L14" s="64"/>
      <c r="M14" s="64"/>
      <c r="N14" s="64"/>
      <c r="O14" s="64"/>
    </row>
    <row r="15" spans="1:15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4">
        <f t="shared" si="0"/>
        <v>0</v>
      </c>
      <c r="K15" s="64"/>
      <c r="L15" s="64"/>
      <c r="M15" s="64"/>
      <c r="N15" s="64"/>
      <c r="O15" s="64"/>
    </row>
    <row r="16" spans="1:15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4">
        <f t="shared" si="0"/>
        <v>0</v>
      </c>
      <c r="K16" s="64"/>
      <c r="L16" s="64"/>
      <c r="M16" s="64"/>
      <c r="N16" s="64"/>
      <c r="O16" s="64"/>
    </row>
    <row r="17" spans="1:15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4">
        <f t="shared" si="0"/>
        <v>0</v>
      </c>
      <c r="K17" s="64"/>
      <c r="L17" s="64"/>
      <c r="M17" s="64"/>
      <c r="N17" s="64"/>
      <c r="O17" s="64"/>
    </row>
    <row r="18" spans="1:15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4">
        <f t="shared" si="0"/>
        <v>0</v>
      </c>
      <c r="K18" s="64"/>
      <c r="L18" s="64"/>
      <c r="M18" s="64"/>
      <c r="N18" s="64"/>
      <c r="O18" s="64"/>
    </row>
    <row r="19" spans="1:15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4">
        <f t="shared" si="0"/>
        <v>0</v>
      </c>
      <c r="K19" s="64"/>
      <c r="L19" s="64"/>
      <c r="M19" s="64"/>
      <c r="N19" s="64"/>
      <c r="O19" s="64"/>
    </row>
    <row r="20" spans="1:15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4">
        <f t="shared" si="0"/>
        <v>0</v>
      </c>
      <c r="K20" s="64"/>
      <c r="L20" s="64"/>
      <c r="M20" s="64"/>
      <c r="N20" s="64"/>
      <c r="O20" s="64"/>
    </row>
    <row r="21" spans="1:15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4">
        <f t="shared" si="0"/>
        <v>0</v>
      </c>
      <c r="K21" s="64"/>
      <c r="L21" s="64"/>
      <c r="M21" s="64"/>
      <c r="N21" s="64"/>
      <c r="O21" s="64"/>
    </row>
    <row r="22" spans="1:18" s="45" customFormat="1" ht="12.75" customHeight="1">
      <c r="A22" s="41" t="s">
        <v>38</v>
      </c>
      <c r="B22" s="42">
        <v>81</v>
      </c>
      <c r="C22" s="43">
        <f>130364+24446+2719</f>
        <v>157529</v>
      </c>
      <c r="D22" s="43"/>
      <c r="E22" s="43">
        <v>16296</v>
      </c>
      <c r="F22" s="43">
        <v>9750</v>
      </c>
      <c r="G22" s="43"/>
      <c r="H22" s="43"/>
      <c r="I22" s="43"/>
      <c r="J22" s="44">
        <f t="shared" si="0"/>
        <v>183575</v>
      </c>
      <c r="K22" s="64"/>
      <c r="L22" s="64"/>
      <c r="M22" s="64"/>
      <c r="N22" s="64"/>
      <c r="O22" s="64"/>
      <c r="P22" s="2"/>
      <c r="Q22" s="2"/>
      <c r="R22" s="2"/>
    </row>
    <row r="23" spans="1:15" ht="12.75">
      <c r="A23" s="41" t="s">
        <v>39</v>
      </c>
      <c r="B23" s="42">
        <v>82</v>
      </c>
      <c r="C23" s="43">
        <f>30009+5627+625</f>
        <v>36261</v>
      </c>
      <c r="D23" s="43"/>
      <c r="E23" s="43">
        <v>3752</v>
      </c>
      <c r="F23" s="43">
        <v>1950</v>
      </c>
      <c r="G23" s="43"/>
      <c r="H23" s="43"/>
      <c r="I23" s="43"/>
      <c r="J23" s="44">
        <f t="shared" si="0"/>
        <v>41963</v>
      </c>
      <c r="K23" s="64"/>
      <c r="L23" s="64"/>
      <c r="M23" s="64"/>
      <c r="N23" s="64"/>
      <c r="O23" s="64"/>
    </row>
    <row r="24" spans="1:15" ht="12.75">
      <c r="A24" s="41" t="s">
        <v>32</v>
      </c>
      <c r="B24" s="42">
        <v>83</v>
      </c>
      <c r="C24" s="43">
        <f>128569+24108+2680</f>
        <v>155357</v>
      </c>
      <c r="D24" s="43"/>
      <c r="E24" s="43">
        <v>16073</v>
      </c>
      <c r="F24" s="43">
        <v>7605</v>
      </c>
      <c r="G24" s="43"/>
      <c r="H24" s="43"/>
      <c r="I24" s="43"/>
      <c r="J24" s="44">
        <f t="shared" si="0"/>
        <v>179035</v>
      </c>
      <c r="K24" s="64"/>
      <c r="L24" s="64"/>
      <c r="M24" s="64"/>
      <c r="N24" s="64"/>
      <c r="O24" s="64"/>
    </row>
    <row r="25" spans="1:15" ht="12.75">
      <c r="A25" s="41" t="s">
        <v>33</v>
      </c>
      <c r="B25" s="42">
        <v>84</v>
      </c>
      <c r="C25" s="43">
        <f>1409784+267521+29732</f>
        <v>1707037</v>
      </c>
      <c r="D25" s="43"/>
      <c r="E25" s="43">
        <v>178354</v>
      </c>
      <c r="F25" s="43">
        <v>79755</v>
      </c>
      <c r="G25" s="43"/>
      <c r="H25" s="43"/>
      <c r="I25" s="43"/>
      <c r="J25" s="44">
        <f t="shared" si="0"/>
        <v>1965146</v>
      </c>
      <c r="K25" s="64"/>
      <c r="L25" s="64"/>
      <c r="M25" s="64"/>
      <c r="N25" s="64"/>
      <c r="O25" s="64"/>
    </row>
    <row r="26" spans="1:15" ht="12.75">
      <c r="A26" s="41" t="s">
        <v>34</v>
      </c>
      <c r="B26" s="42">
        <v>85</v>
      </c>
      <c r="C26" s="43">
        <f>135780+25458+2830</f>
        <v>164068</v>
      </c>
      <c r="D26" s="43"/>
      <c r="E26" s="43">
        <v>16973</v>
      </c>
      <c r="F26" s="43">
        <v>5265</v>
      </c>
      <c r="G26" s="43"/>
      <c r="H26" s="43"/>
      <c r="I26" s="43"/>
      <c r="J26" s="44">
        <f t="shared" si="0"/>
        <v>186306</v>
      </c>
      <c r="K26" s="64"/>
      <c r="L26" s="64"/>
      <c r="M26" s="64"/>
      <c r="N26" s="64"/>
      <c r="O26" s="64"/>
    </row>
    <row r="27" spans="1:15" ht="12.75">
      <c r="A27" s="41" t="s">
        <v>35</v>
      </c>
      <c r="B27" s="42">
        <v>86</v>
      </c>
      <c r="C27" s="43">
        <f>369174+69221+7693</f>
        <v>446088</v>
      </c>
      <c r="D27" s="43"/>
      <c r="E27" s="43">
        <v>46148</v>
      </c>
      <c r="F27" s="43">
        <v>11700</v>
      </c>
      <c r="G27" s="43"/>
      <c r="H27" s="43"/>
      <c r="I27" s="43"/>
      <c r="J27" s="44">
        <f t="shared" si="0"/>
        <v>503936</v>
      </c>
      <c r="K27" s="64"/>
      <c r="L27" s="64"/>
      <c r="M27" s="64"/>
      <c r="N27" s="64"/>
      <c r="O27" s="64"/>
    </row>
    <row r="28" spans="1:15" ht="12.75">
      <c r="A28" s="41" t="s">
        <v>36</v>
      </c>
      <c r="B28" s="42">
        <v>87</v>
      </c>
      <c r="C28" s="43">
        <f>84286+15804+1756</f>
        <v>101846</v>
      </c>
      <c r="D28" s="43"/>
      <c r="E28" s="43">
        <v>10536</v>
      </c>
      <c r="F28" s="43">
        <v>1950</v>
      </c>
      <c r="G28" s="43"/>
      <c r="H28" s="43"/>
      <c r="I28" s="43"/>
      <c r="J28" s="44">
        <f t="shared" si="0"/>
        <v>114332</v>
      </c>
      <c r="K28" s="64"/>
      <c r="L28" s="64"/>
      <c r="M28" s="64"/>
      <c r="N28" s="64"/>
      <c r="O28" s="64"/>
    </row>
    <row r="29" spans="1:15" ht="12.75">
      <c r="A29" s="41" t="s">
        <v>37</v>
      </c>
      <c r="B29" s="42">
        <v>88</v>
      </c>
      <c r="C29" s="43">
        <f>211932+39737+4416</f>
        <v>256085</v>
      </c>
      <c r="D29" s="43"/>
      <c r="E29" s="43">
        <v>26492</v>
      </c>
      <c r="F29" s="43">
        <v>5850</v>
      </c>
      <c r="G29" s="43"/>
      <c r="H29" s="43"/>
      <c r="I29" s="43"/>
      <c r="J29" s="44">
        <f t="shared" si="0"/>
        <v>288427</v>
      </c>
      <c r="K29" s="64"/>
      <c r="L29" s="64"/>
      <c r="M29" s="64"/>
      <c r="N29" s="64"/>
      <c r="O29" s="64"/>
    </row>
    <row r="30" spans="1:15" ht="12.75">
      <c r="A30" s="41" t="s">
        <v>40</v>
      </c>
      <c r="B30" s="42">
        <v>89</v>
      </c>
      <c r="C30" s="43">
        <f>359180+67347+7485</f>
        <v>434012</v>
      </c>
      <c r="D30" s="43"/>
      <c r="E30" s="43">
        <v>44898</v>
      </c>
      <c r="F30" s="43">
        <v>7800</v>
      </c>
      <c r="G30" s="43"/>
      <c r="H30" s="43"/>
      <c r="I30" s="43"/>
      <c r="J30" s="44">
        <f t="shared" si="0"/>
        <v>486710</v>
      </c>
      <c r="K30" s="64"/>
      <c r="L30" s="64"/>
      <c r="M30" s="64"/>
      <c r="N30" s="64"/>
      <c r="O30" s="64"/>
    </row>
    <row r="31" spans="1:15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4">
        <f t="shared" si="0"/>
        <v>0</v>
      </c>
      <c r="K31" s="64"/>
      <c r="L31" s="64"/>
      <c r="M31" s="64"/>
      <c r="N31" s="64"/>
      <c r="O31" s="64"/>
    </row>
    <row r="32" spans="1:15" s="48" customFormat="1" ht="12.75">
      <c r="A32" s="46" t="s">
        <v>73</v>
      </c>
      <c r="B32" s="42">
        <v>92</v>
      </c>
      <c r="C32" s="47">
        <f aca="true" t="shared" si="1" ref="C32:I32">SUM(C12:C31)</f>
        <v>3458283</v>
      </c>
      <c r="D32" s="47">
        <f>SUM(D12:D31)</f>
        <v>0</v>
      </c>
      <c r="E32" s="47">
        <f t="shared" si="1"/>
        <v>359522</v>
      </c>
      <c r="F32" s="47">
        <f t="shared" si="1"/>
        <v>131625</v>
      </c>
      <c r="G32" s="47">
        <v>28486</v>
      </c>
      <c r="H32" s="47">
        <f t="shared" si="1"/>
        <v>0</v>
      </c>
      <c r="I32" s="47">
        <f t="shared" si="1"/>
        <v>0</v>
      </c>
      <c r="J32" s="44">
        <f t="shared" si="0"/>
        <v>3977916</v>
      </c>
      <c r="K32" s="126"/>
      <c r="L32" s="126"/>
      <c r="M32" s="126"/>
      <c r="N32" s="126"/>
      <c r="O32" s="126"/>
    </row>
    <row r="33" spans="1:15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4">
        <f t="shared" si="0"/>
        <v>0</v>
      </c>
      <c r="K33" s="64"/>
      <c r="L33" s="64"/>
      <c r="M33" s="64"/>
      <c r="N33" s="64"/>
      <c r="O33" s="64"/>
    </row>
    <row r="34" spans="1:15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4">
        <f t="shared" si="0"/>
        <v>0</v>
      </c>
      <c r="K34" s="64"/>
      <c r="L34" s="64"/>
      <c r="M34" s="64"/>
      <c r="N34" s="64"/>
      <c r="O34" s="64"/>
    </row>
    <row r="35" spans="1:15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4">
        <f t="shared" si="0"/>
        <v>0</v>
      </c>
      <c r="K35" s="64"/>
      <c r="L35" s="64"/>
      <c r="M35" s="64"/>
      <c r="N35" s="64"/>
      <c r="O35" s="64"/>
    </row>
    <row r="36" spans="1:15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4">
        <f t="shared" si="0"/>
        <v>0</v>
      </c>
      <c r="K36" s="64"/>
      <c r="L36" s="64"/>
      <c r="M36" s="64"/>
      <c r="N36" s="64"/>
      <c r="O36" s="64"/>
    </row>
    <row r="37" spans="1:15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4">
        <f t="shared" si="0"/>
        <v>0</v>
      </c>
      <c r="K37" s="64"/>
      <c r="L37" s="64"/>
      <c r="M37" s="64"/>
      <c r="N37" s="64"/>
      <c r="O37" s="64"/>
    </row>
    <row r="38" spans="1:15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4">
        <f t="shared" si="0"/>
        <v>0</v>
      </c>
      <c r="K38" s="64"/>
      <c r="L38" s="64"/>
      <c r="M38" s="64"/>
      <c r="N38" s="64"/>
      <c r="O38" s="64"/>
    </row>
    <row r="39" spans="1:15" s="48" customFormat="1" ht="12.75">
      <c r="A39" s="46" t="s">
        <v>72</v>
      </c>
      <c r="B39" s="42">
        <v>110</v>
      </c>
      <c r="C39" s="47">
        <f aca="true" t="shared" si="2" ref="C39:I39">SUM(C33:C38)</f>
        <v>0</v>
      </c>
      <c r="D39" s="47">
        <f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4">
        <f t="shared" si="0"/>
        <v>0</v>
      </c>
      <c r="K39" s="126"/>
      <c r="L39" s="126"/>
      <c r="M39" s="126"/>
      <c r="N39" s="126"/>
      <c r="O39" s="126"/>
    </row>
    <row r="40" spans="1:15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4">
        <f t="shared" si="0"/>
        <v>0</v>
      </c>
      <c r="K40" s="64"/>
      <c r="L40" s="64"/>
      <c r="M40" s="64"/>
      <c r="N40" s="64"/>
      <c r="O40" s="64"/>
    </row>
    <row r="41" spans="1:15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4">
        <f t="shared" si="0"/>
        <v>0</v>
      </c>
      <c r="K41" s="64"/>
      <c r="L41" s="64"/>
      <c r="M41" s="64"/>
      <c r="N41" s="64"/>
      <c r="O41" s="64"/>
    </row>
    <row r="42" spans="1:15" ht="12.75">
      <c r="A42" s="50" t="s">
        <v>59</v>
      </c>
      <c r="B42" s="42">
        <v>113</v>
      </c>
      <c r="C42" s="43">
        <f>149228+27980+3109</f>
        <v>180317</v>
      </c>
      <c r="D42" s="43"/>
      <c r="E42" s="43">
        <v>18654</v>
      </c>
      <c r="F42" s="43">
        <v>1950</v>
      </c>
      <c r="G42" s="43"/>
      <c r="H42" s="43"/>
      <c r="I42" s="43"/>
      <c r="J42" s="44">
        <f t="shared" si="0"/>
        <v>200921</v>
      </c>
      <c r="K42" s="64"/>
      <c r="L42" s="64"/>
      <c r="M42" s="64"/>
      <c r="N42" s="64"/>
      <c r="O42" s="64"/>
    </row>
    <row r="43" spans="1:15" ht="12.75">
      <c r="A43" s="50" t="s">
        <v>60</v>
      </c>
      <c r="B43" s="42">
        <v>114</v>
      </c>
      <c r="C43" s="43">
        <f>528308+99057+11007</f>
        <v>638372</v>
      </c>
      <c r="D43" s="43"/>
      <c r="E43" s="43">
        <v>73749</v>
      </c>
      <c r="F43" s="43">
        <v>5850</v>
      </c>
      <c r="G43" s="43"/>
      <c r="H43" s="43"/>
      <c r="I43" s="43"/>
      <c r="J43" s="44">
        <f t="shared" si="0"/>
        <v>717971</v>
      </c>
      <c r="K43" s="64"/>
      <c r="L43" s="64"/>
      <c r="M43" s="64"/>
      <c r="N43" s="64"/>
      <c r="O43" s="64"/>
    </row>
    <row r="44" spans="1:15" ht="12.75">
      <c r="A44" s="50" t="s">
        <v>61</v>
      </c>
      <c r="B44" s="42">
        <v>115</v>
      </c>
      <c r="C44" s="43">
        <f>2022059+379130+42131</f>
        <v>2443320</v>
      </c>
      <c r="D44" s="43"/>
      <c r="E44" s="43">
        <v>252759</v>
      </c>
      <c r="F44" s="43">
        <v>31135</v>
      </c>
      <c r="G44" s="43"/>
      <c r="H44" s="43"/>
      <c r="I44" s="43"/>
      <c r="J44" s="44">
        <f t="shared" si="0"/>
        <v>2727214</v>
      </c>
      <c r="K44" s="64"/>
      <c r="L44" s="64"/>
      <c r="M44" s="64"/>
      <c r="N44" s="64"/>
      <c r="O44" s="64"/>
    </row>
    <row r="45" spans="1:15" ht="12.75">
      <c r="A45" s="50" t="s">
        <v>62</v>
      </c>
      <c r="B45" s="42">
        <v>119</v>
      </c>
      <c r="C45" s="43">
        <f>7029495+1166163+129575</f>
        <v>8325233</v>
      </c>
      <c r="D45" s="43"/>
      <c r="E45" s="43">
        <v>774740</v>
      </c>
      <c r="F45" s="43">
        <v>140725</v>
      </c>
      <c r="G45" s="43"/>
      <c r="H45" s="43"/>
      <c r="I45" s="43"/>
      <c r="J45" s="44">
        <f t="shared" si="0"/>
        <v>9240698</v>
      </c>
      <c r="K45" s="64"/>
      <c r="L45" s="64"/>
      <c r="M45" s="64"/>
      <c r="N45" s="64"/>
      <c r="O45" s="64"/>
    </row>
    <row r="46" spans="1:15" ht="12.75">
      <c r="A46" s="50" t="s">
        <v>63</v>
      </c>
      <c r="B46" s="42">
        <v>120</v>
      </c>
      <c r="C46" s="43">
        <f>23576561+4442434+496126</f>
        <v>28515121</v>
      </c>
      <c r="D46" s="43"/>
      <c r="E46" s="43">
        <v>2973140</v>
      </c>
      <c r="F46" s="43">
        <v>969605</v>
      </c>
      <c r="G46" s="43"/>
      <c r="H46" s="43"/>
      <c r="I46" s="43"/>
      <c r="J46" s="44">
        <f t="shared" si="0"/>
        <v>32457866</v>
      </c>
      <c r="K46" s="64"/>
      <c r="L46" s="64"/>
      <c r="M46" s="64"/>
      <c r="N46" s="64"/>
      <c r="O46" s="64"/>
    </row>
    <row r="47" spans="1:15" s="48" customFormat="1" ht="12.75">
      <c r="A47" s="46" t="s">
        <v>74</v>
      </c>
      <c r="B47" s="47">
        <v>121</v>
      </c>
      <c r="C47" s="47">
        <f aca="true" t="shared" si="3" ref="C47:I47">SUM(C40:C46)</f>
        <v>40102363</v>
      </c>
      <c r="D47" s="47">
        <f>SUM(D40:D46)</f>
        <v>0</v>
      </c>
      <c r="E47" s="47">
        <f t="shared" si="3"/>
        <v>4093042</v>
      </c>
      <c r="F47" s="47">
        <f t="shared" si="3"/>
        <v>1149265</v>
      </c>
      <c r="G47" s="47">
        <v>859237</v>
      </c>
      <c r="H47" s="47">
        <f t="shared" si="3"/>
        <v>0</v>
      </c>
      <c r="I47" s="47">
        <f t="shared" si="3"/>
        <v>0</v>
      </c>
      <c r="J47" s="44">
        <f t="shared" si="0"/>
        <v>46203907</v>
      </c>
      <c r="K47" s="126"/>
      <c r="L47" s="126"/>
      <c r="M47" s="126"/>
      <c r="N47" s="126"/>
      <c r="O47" s="126"/>
    </row>
    <row r="48" spans="1:15" s="48" customFormat="1" ht="12.75">
      <c r="A48" s="46" t="s">
        <v>119</v>
      </c>
      <c r="B48" s="47">
        <v>152</v>
      </c>
      <c r="C48" s="47">
        <f aca="true" t="shared" si="4" ref="C48:I48">C32+C39+C47</f>
        <v>43560646</v>
      </c>
      <c r="D48" s="47">
        <f>D32+D39+D47</f>
        <v>0</v>
      </c>
      <c r="E48" s="47">
        <f t="shared" si="4"/>
        <v>4452564</v>
      </c>
      <c r="F48" s="47">
        <f t="shared" si="4"/>
        <v>1280890</v>
      </c>
      <c r="G48" s="47">
        <f t="shared" si="4"/>
        <v>887723</v>
      </c>
      <c r="H48" s="47">
        <f t="shared" si="4"/>
        <v>0</v>
      </c>
      <c r="I48" s="47">
        <f t="shared" si="4"/>
        <v>0</v>
      </c>
      <c r="J48" s="44">
        <f t="shared" si="0"/>
        <v>50181823</v>
      </c>
      <c r="K48" s="126"/>
      <c r="L48" s="126"/>
      <c r="M48" s="126"/>
      <c r="N48" s="126"/>
      <c r="O48" s="126"/>
    </row>
    <row r="49" spans="1:15" s="48" customFormat="1" ht="12.75">
      <c r="A49" s="46" t="s">
        <v>51</v>
      </c>
      <c r="B49" s="47">
        <v>158</v>
      </c>
      <c r="C49" s="51">
        <f>143479+26903+2990</f>
        <v>173372</v>
      </c>
      <c r="D49" s="51"/>
      <c r="E49" s="51">
        <v>17935</v>
      </c>
      <c r="F49" s="51">
        <v>3267</v>
      </c>
      <c r="G49" s="51"/>
      <c r="H49" s="51"/>
      <c r="I49" s="51"/>
      <c r="J49" s="44">
        <f t="shared" si="0"/>
        <v>194574</v>
      </c>
      <c r="K49" s="126"/>
      <c r="L49" s="126"/>
      <c r="M49" s="126"/>
      <c r="N49" s="126"/>
      <c r="O49" s="126"/>
    </row>
    <row r="50" spans="1:15" s="48" customFormat="1" ht="12.75">
      <c r="A50" s="46" t="s">
        <v>75</v>
      </c>
      <c r="B50" s="47">
        <v>159</v>
      </c>
      <c r="C50" s="47">
        <f aca="true" t="shared" si="5" ref="C50:I50">C48+C49</f>
        <v>43734018</v>
      </c>
      <c r="D50" s="47">
        <f>D48+D49</f>
        <v>0</v>
      </c>
      <c r="E50" s="47">
        <f t="shared" si="5"/>
        <v>4470499</v>
      </c>
      <c r="F50" s="47">
        <f t="shared" si="5"/>
        <v>1284157</v>
      </c>
      <c r="G50" s="47">
        <f t="shared" si="5"/>
        <v>887723</v>
      </c>
      <c r="H50" s="47">
        <f t="shared" si="5"/>
        <v>0</v>
      </c>
      <c r="I50" s="47">
        <f t="shared" si="5"/>
        <v>0</v>
      </c>
      <c r="J50" s="44">
        <f t="shared" si="0"/>
        <v>50376397</v>
      </c>
      <c r="K50" s="126"/>
      <c r="L50" s="126"/>
      <c r="M50" s="126"/>
      <c r="N50" s="126"/>
      <c r="O50" s="126"/>
    </row>
    <row r="51" spans="1:14" s="48" customFormat="1" ht="12.75">
      <c r="A51" s="113"/>
      <c r="B51" s="114"/>
      <c r="C51" s="114"/>
      <c r="D51" s="114"/>
      <c r="E51" s="114"/>
      <c r="F51" s="114"/>
      <c r="G51" s="114"/>
      <c r="H51" s="114"/>
      <c r="I51" s="114"/>
      <c r="J51" s="115"/>
      <c r="K51" s="52"/>
      <c r="L51" s="52"/>
      <c r="M51" s="52"/>
      <c r="N51" s="52"/>
    </row>
    <row r="52" spans="1:14" s="48" customFormat="1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39"/>
      <c r="N52" s="135"/>
    </row>
    <row r="53" spans="1:14" s="48" customFormat="1" ht="12.75">
      <c r="A53" s="178" t="s">
        <v>3</v>
      </c>
      <c r="B53" s="136" t="s">
        <v>49</v>
      </c>
      <c r="C53" s="137" t="s">
        <v>188</v>
      </c>
      <c r="D53" s="137" t="s">
        <v>189</v>
      </c>
      <c r="E53" s="137" t="s">
        <v>106</v>
      </c>
      <c r="F53" s="137" t="s">
        <v>190</v>
      </c>
      <c r="G53" s="137" t="s">
        <v>191</v>
      </c>
      <c r="H53" s="137" t="s">
        <v>192</v>
      </c>
      <c r="I53" s="137" t="s">
        <v>192</v>
      </c>
      <c r="J53" s="137" t="s">
        <v>192</v>
      </c>
      <c r="K53" s="191" t="s">
        <v>160</v>
      </c>
      <c r="L53" s="192"/>
      <c r="M53" s="127"/>
      <c r="N53" s="128"/>
    </row>
    <row r="54" spans="1:14" s="48" customFormat="1" ht="12.75">
      <c r="A54" s="179"/>
      <c r="B54" s="54" t="s">
        <v>50</v>
      </c>
      <c r="C54" s="55" t="s">
        <v>105</v>
      </c>
      <c r="D54" s="55" t="s">
        <v>105</v>
      </c>
      <c r="E54" s="55" t="s">
        <v>105</v>
      </c>
      <c r="F54" s="55" t="s">
        <v>109</v>
      </c>
      <c r="G54" s="55" t="s">
        <v>109</v>
      </c>
      <c r="H54" s="55" t="s">
        <v>193</v>
      </c>
      <c r="I54" s="55" t="s">
        <v>194</v>
      </c>
      <c r="J54" s="117" t="s">
        <v>114</v>
      </c>
      <c r="K54" s="54" t="s">
        <v>162</v>
      </c>
      <c r="L54" s="129" t="s">
        <v>161</v>
      </c>
      <c r="M54" s="127"/>
      <c r="N54" s="128"/>
    </row>
    <row r="55" spans="1:16" s="48" customFormat="1" ht="12.75">
      <c r="A55" s="56" t="s">
        <v>63</v>
      </c>
      <c r="B55" s="57">
        <f>IF(A55="","",VLOOKUP(A55,$A$12:$B$50,2,FALSE))</f>
        <v>120</v>
      </c>
      <c r="C55" s="57">
        <v>876828</v>
      </c>
      <c r="D55" s="57"/>
      <c r="E55" s="57">
        <v>90706</v>
      </c>
      <c r="F55" s="57">
        <v>4940</v>
      </c>
      <c r="G55" s="57"/>
      <c r="H55" s="57"/>
      <c r="I55" s="57"/>
      <c r="J55" s="130">
        <f>SUM(C55:I55)</f>
        <v>972474</v>
      </c>
      <c r="K55" s="57"/>
      <c r="L55" s="58"/>
      <c r="M55" s="131"/>
      <c r="N55" s="114"/>
      <c r="O55" s="116"/>
      <c r="P55" s="132"/>
    </row>
    <row r="56" spans="1:16" s="48" customFormat="1" ht="12.75">
      <c r="A56" s="60" t="s">
        <v>32</v>
      </c>
      <c r="B56" s="61">
        <f>IF(A56="","",VLOOKUP(A56,$A$12:$B$50,2,FALSE))</f>
        <v>83</v>
      </c>
      <c r="C56" s="61">
        <v>23762</v>
      </c>
      <c r="D56" s="61"/>
      <c r="E56" s="61">
        <v>2459</v>
      </c>
      <c r="F56" s="61">
        <v>1755</v>
      </c>
      <c r="G56" s="61"/>
      <c r="H56" s="61"/>
      <c r="I56" s="61"/>
      <c r="J56" s="130">
        <f>SUM(C56:I56)</f>
        <v>27976</v>
      </c>
      <c r="K56" s="61"/>
      <c r="L56" s="62"/>
      <c r="M56" s="131"/>
      <c r="N56" s="114"/>
      <c r="O56" s="116"/>
      <c r="P56" s="132"/>
    </row>
    <row r="57" spans="1:16" s="48" customFormat="1" ht="12.75">
      <c r="A57" s="60" t="s">
        <v>33</v>
      </c>
      <c r="B57" s="61">
        <f>IF(A57="","",VLOOKUP(A57,$A$12:$B$50,2,FALSE))</f>
        <v>84</v>
      </c>
      <c r="C57" s="61">
        <v>27579</v>
      </c>
      <c r="D57" s="61"/>
      <c r="E57" s="61">
        <v>2873</v>
      </c>
      <c r="F57" s="61">
        <v>1755</v>
      </c>
      <c r="G57" s="61"/>
      <c r="H57" s="61"/>
      <c r="I57" s="61"/>
      <c r="J57" s="130">
        <f>SUM(C57:I57)</f>
        <v>32207</v>
      </c>
      <c r="K57" s="61"/>
      <c r="L57" s="62"/>
      <c r="M57" s="131"/>
      <c r="N57" s="114"/>
      <c r="O57" s="116"/>
      <c r="P57" s="132"/>
    </row>
    <row r="58" spans="1:16" ht="12.75">
      <c r="A58" s="60" t="s">
        <v>40</v>
      </c>
      <c r="B58" s="61">
        <f>IF(A58="","",VLOOKUP(A58,$A$12:$B$50,2,FALSE))</f>
        <v>89</v>
      </c>
      <c r="C58" s="61">
        <v>31370</v>
      </c>
      <c r="D58" s="61"/>
      <c r="E58" s="61">
        <v>3245</v>
      </c>
      <c r="F58" s="61">
        <v>829</v>
      </c>
      <c r="G58" s="61"/>
      <c r="H58" s="61"/>
      <c r="I58" s="61"/>
      <c r="J58" s="130">
        <f>SUM(C58:I58)</f>
        <v>35444</v>
      </c>
      <c r="K58" s="61"/>
      <c r="L58" s="62"/>
      <c r="M58" s="131"/>
      <c r="N58" s="114"/>
      <c r="O58" s="134"/>
      <c r="P58" s="45"/>
    </row>
    <row r="60" spans="1:6" ht="12.75">
      <c r="A60" s="63" t="s">
        <v>21</v>
      </c>
      <c r="B60" s="175" t="s">
        <v>214</v>
      </c>
      <c r="C60" s="175"/>
      <c r="D60" s="175"/>
      <c r="E60" s="175"/>
      <c r="F60" s="64"/>
    </row>
    <row r="61" spans="8:9" ht="12.75">
      <c r="H61" s="174" t="s">
        <v>211</v>
      </c>
      <c r="I61" s="174"/>
    </row>
    <row r="62" spans="8:9" ht="12.75">
      <c r="H62" s="173" t="s">
        <v>48</v>
      </c>
      <c r="I62" s="173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98" t="s">
        <v>215</v>
      </c>
      <c r="L2" s="170"/>
    </row>
    <row r="3" spans="1:12" ht="12.75">
      <c r="A3" s="3"/>
      <c r="H3" s="4"/>
      <c r="I3" s="4"/>
      <c r="J3" s="5" t="s">
        <v>77</v>
      </c>
      <c r="K3" s="169" t="s">
        <v>208</v>
      </c>
      <c r="L3" s="170"/>
    </row>
    <row r="4" ht="18" customHeight="1">
      <c r="A4" s="6"/>
    </row>
    <row r="5" spans="1:13" ht="18">
      <c r="A5" s="172" t="s">
        <v>82</v>
      </c>
      <c r="B5" s="172"/>
      <c r="C5" s="172"/>
      <c r="D5" s="172"/>
      <c r="E5" s="7" t="s">
        <v>83</v>
      </c>
      <c r="F5" s="171" t="s">
        <v>93</v>
      </c>
      <c r="G5" s="171"/>
      <c r="H5" s="171"/>
      <c r="I5" s="171"/>
      <c r="J5" s="171"/>
      <c r="K5" s="171"/>
      <c r="L5" s="171"/>
      <c r="M5" s="17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5" t="s">
        <v>121</v>
      </c>
      <c r="N7" s="196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9" t="s">
        <v>122</v>
      </c>
      <c r="N9" s="190"/>
    </row>
    <row r="10" spans="1:14" ht="13.5" thickBot="1">
      <c r="A10" s="25"/>
      <c r="B10" s="26"/>
      <c r="C10" s="176" t="s">
        <v>101</v>
      </c>
      <c r="D10" s="177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32"/>
      <c r="N10" s="33"/>
    </row>
    <row r="11" spans="1:14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9"/>
    </row>
    <row r="12" spans="1:14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3"/>
      <c r="K12" s="44">
        <f>SUM(C12:J12)</f>
        <v>0</v>
      </c>
      <c r="L12" s="43"/>
      <c r="M12" s="43"/>
      <c r="N12" s="43"/>
    </row>
    <row r="13" spans="1:14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3"/>
      <c r="K13" s="44">
        <f aca="true" t="shared" si="0" ref="K13:K50">SUM(C13:J13)</f>
        <v>0</v>
      </c>
      <c r="L13" s="43"/>
      <c r="M13" s="43"/>
      <c r="N13" s="43"/>
    </row>
    <row r="14" spans="1:14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3"/>
      <c r="K14" s="44">
        <f t="shared" si="0"/>
        <v>0</v>
      </c>
      <c r="L14" s="43"/>
      <c r="M14" s="43"/>
      <c r="N14" s="43"/>
    </row>
    <row r="15" spans="1:14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3"/>
      <c r="K15" s="44">
        <f t="shared" si="0"/>
        <v>0</v>
      </c>
      <c r="L15" s="43"/>
      <c r="M15" s="43"/>
      <c r="N15" s="43"/>
    </row>
    <row r="16" spans="1:14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3"/>
      <c r="K16" s="44">
        <f t="shared" si="0"/>
        <v>0</v>
      </c>
      <c r="L16" s="43"/>
      <c r="M16" s="43"/>
      <c r="N16" s="43"/>
    </row>
    <row r="17" spans="1:14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3"/>
      <c r="K17" s="44">
        <f t="shared" si="0"/>
        <v>0</v>
      </c>
      <c r="L17" s="43"/>
      <c r="M17" s="43"/>
      <c r="N17" s="43"/>
    </row>
    <row r="18" spans="1:14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3"/>
      <c r="K18" s="44">
        <f t="shared" si="0"/>
        <v>0</v>
      </c>
      <c r="L18" s="43"/>
      <c r="M18" s="43"/>
      <c r="N18" s="43"/>
    </row>
    <row r="19" spans="1:14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3"/>
      <c r="K19" s="44">
        <f t="shared" si="0"/>
        <v>0</v>
      </c>
      <c r="L19" s="43"/>
      <c r="M19" s="43"/>
      <c r="N19" s="43"/>
    </row>
    <row r="20" spans="1:14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3"/>
      <c r="K20" s="44">
        <f t="shared" si="0"/>
        <v>0</v>
      </c>
      <c r="L20" s="43"/>
      <c r="M20" s="43"/>
      <c r="N20" s="43"/>
    </row>
    <row r="21" spans="1:14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3"/>
      <c r="K21" s="44">
        <f t="shared" si="0"/>
        <v>0</v>
      </c>
      <c r="L21" s="43"/>
      <c r="M21" s="43"/>
      <c r="N21" s="43"/>
    </row>
    <row r="22" spans="1:21" s="45" customFormat="1" ht="12.75" customHeight="1">
      <c r="A22" s="41" t="s">
        <v>38</v>
      </c>
      <c r="B22" s="42">
        <v>81</v>
      </c>
      <c r="C22" s="163">
        <v>463343</v>
      </c>
      <c r="D22" s="163"/>
      <c r="E22" s="163"/>
      <c r="F22" s="163"/>
      <c r="G22" s="163"/>
      <c r="H22" s="163"/>
      <c r="I22" s="43"/>
      <c r="J22" s="163">
        <v>41784</v>
      </c>
      <c r="K22" s="44">
        <f aca="true" t="shared" si="1" ref="K22:K30">SUM(C22:J22)</f>
        <v>505127</v>
      </c>
      <c r="L22" s="163">
        <v>71292</v>
      </c>
      <c r="M22" s="43">
        <v>5</v>
      </c>
      <c r="N22" s="43">
        <v>5</v>
      </c>
      <c r="O22" s="2"/>
      <c r="P22" s="2"/>
      <c r="Q22" s="2"/>
      <c r="R22" s="2"/>
      <c r="S22" s="2"/>
      <c r="T22" s="2"/>
      <c r="U22" s="2"/>
    </row>
    <row r="23" spans="1:14" ht="12.75">
      <c r="A23" s="41" t="s">
        <v>39</v>
      </c>
      <c r="B23" s="42">
        <v>82</v>
      </c>
      <c r="C23" s="163">
        <v>115420</v>
      </c>
      <c r="D23" s="163"/>
      <c r="E23" s="163"/>
      <c r="F23" s="163"/>
      <c r="G23" s="163"/>
      <c r="H23" s="163"/>
      <c r="I23" s="43"/>
      <c r="J23" s="163">
        <v>9618</v>
      </c>
      <c r="K23" s="44">
        <f t="shared" si="1"/>
        <v>125038</v>
      </c>
      <c r="L23" s="163">
        <v>15000</v>
      </c>
      <c r="M23" s="43">
        <v>1</v>
      </c>
      <c r="N23" s="43">
        <v>0</v>
      </c>
    </row>
    <row r="24" spans="1:14" ht="12.75">
      <c r="A24" s="41" t="s">
        <v>32</v>
      </c>
      <c r="B24" s="42">
        <v>83</v>
      </c>
      <c r="C24" s="163">
        <v>425498</v>
      </c>
      <c r="D24" s="163"/>
      <c r="E24" s="163"/>
      <c r="F24" s="163"/>
      <c r="G24" s="163">
        <v>47689</v>
      </c>
      <c r="H24" s="163"/>
      <c r="I24" s="43"/>
      <c r="J24" s="163">
        <v>32055</v>
      </c>
      <c r="K24" s="44">
        <f t="shared" si="1"/>
        <v>505242</v>
      </c>
      <c r="L24" s="163">
        <v>56869</v>
      </c>
      <c r="M24" s="43">
        <v>5</v>
      </c>
      <c r="N24" s="43">
        <v>5</v>
      </c>
    </row>
    <row r="25" spans="1:14" ht="12.75">
      <c r="A25" s="41" t="s">
        <v>33</v>
      </c>
      <c r="B25" s="42">
        <v>84</v>
      </c>
      <c r="C25" s="163">
        <v>4903017</v>
      </c>
      <c r="D25" s="163"/>
      <c r="E25" s="163"/>
      <c r="F25" s="163"/>
      <c r="G25" s="163">
        <v>191506</v>
      </c>
      <c r="H25" s="163"/>
      <c r="I25" s="43"/>
      <c r="J25" s="163">
        <v>433407</v>
      </c>
      <c r="K25" s="44">
        <f t="shared" si="1"/>
        <v>5527930</v>
      </c>
      <c r="L25" s="163">
        <v>858863</v>
      </c>
      <c r="M25" s="43">
        <v>43</v>
      </c>
      <c r="N25" s="43">
        <v>32</v>
      </c>
    </row>
    <row r="26" spans="1:14" ht="12.75">
      <c r="A26" s="41" t="s">
        <v>34</v>
      </c>
      <c r="B26" s="42">
        <v>85</v>
      </c>
      <c r="C26" s="163">
        <v>173356</v>
      </c>
      <c r="D26" s="163"/>
      <c r="E26" s="163"/>
      <c r="F26" s="163">
        <v>10000</v>
      </c>
      <c r="G26" s="163">
        <v>246004</v>
      </c>
      <c r="H26" s="163"/>
      <c r="I26" s="43"/>
      <c r="J26" s="163">
        <v>43227</v>
      </c>
      <c r="K26" s="44">
        <f t="shared" si="1"/>
        <v>472587</v>
      </c>
      <c r="L26" s="163">
        <v>77281</v>
      </c>
      <c r="M26" s="43">
        <v>3</v>
      </c>
      <c r="N26" s="43">
        <v>1</v>
      </c>
    </row>
    <row r="27" spans="1:14" ht="12.75">
      <c r="A27" s="41" t="s">
        <v>35</v>
      </c>
      <c r="B27" s="42">
        <v>86</v>
      </c>
      <c r="C27" s="163">
        <v>1334643</v>
      </c>
      <c r="D27" s="163"/>
      <c r="E27" s="163"/>
      <c r="F27" s="163"/>
      <c r="G27" s="163"/>
      <c r="H27" s="163"/>
      <c r="I27" s="43"/>
      <c r="J27" s="163">
        <v>118325</v>
      </c>
      <c r="K27" s="44">
        <f t="shared" si="1"/>
        <v>1452968</v>
      </c>
      <c r="L27" s="163">
        <v>90000</v>
      </c>
      <c r="M27" s="43">
        <v>6</v>
      </c>
      <c r="N27" s="43">
        <v>4</v>
      </c>
    </row>
    <row r="28" spans="1:14" ht="12.75">
      <c r="A28" s="41" t="s">
        <v>36</v>
      </c>
      <c r="B28" s="42">
        <v>87</v>
      </c>
      <c r="C28" s="163">
        <v>260300</v>
      </c>
      <c r="D28" s="163"/>
      <c r="E28" s="163"/>
      <c r="F28" s="163">
        <v>30000</v>
      </c>
      <c r="G28" s="163">
        <v>39200</v>
      </c>
      <c r="H28" s="163"/>
      <c r="I28" s="43"/>
      <c r="J28" s="163">
        <v>21692</v>
      </c>
      <c r="K28" s="44">
        <f t="shared" si="1"/>
        <v>351192</v>
      </c>
      <c r="L28" s="163">
        <v>15000</v>
      </c>
      <c r="M28" s="43">
        <v>1</v>
      </c>
      <c r="N28" s="43">
        <v>1</v>
      </c>
    </row>
    <row r="29" spans="1:14" ht="12.75">
      <c r="A29" s="41" t="s">
        <v>37</v>
      </c>
      <c r="B29" s="42">
        <v>88</v>
      </c>
      <c r="C29" s="163">
        <v>797400</v>
      </c>
      <c r="D29" s="163"/>
      <c r="E29" s="163"/>
      <c r="F29" s="163"/>
      <c r="G29" s="163">
        <v>39200</v>
      </c>
      <c r="H29" s="163"/>
      <c r="I29" s="43"/>
      <c r="J29" s="163">
        <v>66450</v>
      </c>
      <c r="K29" s="44">
        <f t="shared" si="1"/>
        <v>903050</v>
      </c>
      <c r="L29" s="163">
        <v>37500</v>
      </c>
      <c r="M29" s="43">
        <v>3</v>
      </c>
      <c r="N29" s="43">
        <v>3</v>
      </c>
    </row>
    <row r="30" spans="1:14" ht="12.75">
      <c r="A30" s="41" t="s">
        <v>40</v>
      </c>
      <c r="B30" s="42">
        <v>89</v>
      </c>
      <c r="C30" s="163">
        <v>1216676</v>
      </c>
      <c r="D30" s="163"/>
      <c r="E30" s="163"/>
      <c r="F30" s="163"/>
      <c r="G30" s="163"/>
      <c r="H30" s="163"/>
      <c r="I30" s="43"/>
      <c r="J30" s="163">
        <v>102717</v>
      </c>
      <c r="K30" s="44">
        <f t="shared" si="1"/>
        <v>1319393</v>
      </c>
      <c r="L30" s="163">
        <v>220529</v>
      </c>
      <c r="M30" s="43">
        <v>4</v>
      </c>
      <c r="N30" s="43">
        <v>0</v>
      </c>
    </row>
    <row r="31" spans="1:14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3"/>
      <c r="K31" s="44">
        <f t="shared" si="0"/>
        <v>0</v>
      </c>
      <c r="L31" s="43"/>
      <c r="M31" s="43"/>
      <c r="N31" s="43">
        <v>0</v>
      </c>
    </row>
    <row r="32" spans="1:14" s="48" customFormat="1" ht="12.75">
      <c r="A32" s="46" t="s">
        <v>73</v>
      </c>
      <c r="B32" s="42">
        <v>92</v>
      </c>
      <c r="C32" s="47">
        <f>SUM(C12:C31)</f>
        <v>9689653</v>
      </c>
      <c r="D32" s="47">
        <f aca="true" t="shared" si="2" ref="D32:J32">SUM(D12:D31)</f>
        <v>0</v>
      </c>
      <c r="E32" s="47">
        <f t="shared" si="2"/>
        <v>0</v>
      </c>
      <c r="F32" s="47">
        <f t="shared" si="2"/>
        <v>40000</v>
      </c>
      <c r="G32" s="47">
        <f t="shared" si="2"/>
        <v>563599</v>
      </c>
      <c r="H32" s="47">
        <f t="shared" si="2"/>
        <v>0</v>
      </c>
      <c r="I32" s="47">
        <f t="shared" si="2"/>
        <v>0</v>
      </c>
      <c r="J32" s="47">
        <f t="shared" si="2"/>
        <v>869275</v>
      </c>
      <c r="K32" s="44">
        <f t="shared" si="0"/>
        <v>11162527</v>
      </c>
      <c r="L32" s="47">
        <f>SUM(L12:L31)</f>
        <v>1442334</v>
      </c>
      <c r="M32" s="47">
        <f>SUM(M12:M31)</f>
        <v>71</v>
      </c>
      <c r="N32" s="47">
        <f>SUM(N12:N31)</f>
        <v>51</v>
      </c>
    </row>
    <row r="33" spans="1:14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3"/>
      <c r="K33" s="44">
        <f t="shared" si="0"/>
        <v>0</v>
      </c>
      <c r="L33" s="43"/>
      <c r="M33" s="43"/>
      <c r="N33" s="43"/>
    </row>
    <row r="34" spans="1:14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3"/>
      <c r="K34" s="44">
        <f t="shared" si="0"/>
        <v>0</v>
      </c>
      <c r="L34" s="43"/>
      <c r="M34" s="43"/>
      <c r="N34" s="43"/>
    </row>
    <row r="35" spans="1:14" s="48" customFormat="1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3"/>
      <c r="K35" s="44">
        <f t="shared" si="0"/>
        <v>0</v>
      </c>
      <c r="L35" s="43"/>
      <c r="M35" s="43"/>
      <c r="N35" s="43"/>
    </row>
    <row r="36" spans="1:14" s="48" customFormat="1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3"/>
      <c r="K36" s="44">
        <f t="shared" si="0"/>
        <v>0</v>
      </c>
      <c r="L36" s="43"/>
      <c r="M36" s="43"/>
      <c r="N36" s="43"/>
    </row>
    <row r="37" spans="1:14" s="48" customFormat="1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3"/>
      <c r="K37" s="44">
        <f t="shared" si="0"/>
        <v>0</v>
      </c>
      <c r="L37" s="43"/>
      <c r="M37" s="43"/>
      <c r="N37" s="43"/>
    </row>
    <row r="38" spans="1:14" s="112" customFormat="1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3"/>
      <c r="K38" s="44">
        <f t="shared" si="0"/>
        <v>0</v>
      </c>
      <c r="L38" s="43"/>
      <c r="M38" s="43"/>
      <c r="N38" s="43"/>
    </row>
    <row r="39" spans="1:14" ht="12.75">
      <c r="A39" s="46" t="s">
        <v>72</v>
      </c>
      <c r="B39" s="42">
        <v>110</v>
      </c>
      <c r="C39" s="47">
        <f>SUM(C33:C38)</f>
        <v>0</v>
      </c>
      <c r="D39" s="47">
        <f aca="true" t="shared" si="3" ref="D39:J39">SUM(D33:D38)</f>
        <v>0</v>
      </c>
      <c r="E39" s="47">
        <f t="shared" si="3"/>
        <v>0</v>
      </c>
      <c r="F39" s="47">
        <f t="shared" si="3"/>
        <v>0</v>
      </c>
      <c r="G39" s="47">
        <f t="shared" si="3"/>
        <v>0</v>
      </c>
      <c r="H39" s="47">
        <f t="shared" si="3"/>
        <v>0</v>
      </c>
      <c r="I39" s="47">
        <f t="shared" si="3"/>
        <v>0</v>
      </c>
      <c r="J39" s="47">
        <f t="shared" si="3"/>
        <v>0</v>
      </c>
      <c r="K39" s="44">
        <f t="shared" si="0"/>
        <v>0</v>
      </c>
      <c r="L39" s="47">
        <f>SUM(L33:L38)</f>
        <v>0</v>
      </c>
      <c r="M39" s="47">
        <f>SUM(M33:M38)</f>
        <v>0</v>
      </c>
      <c r="N39" s="47">
        <f>SUM(N33:N38)</f>
        <v>0</v>
      </c>
    </row>
    <row r="40" spans="1:14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3"/>
      <c r="K40" s="44">
        <f t="shared" si="0"/>
        <v>0</v>
      </c>
      <c r="L40" s="43"/>
      <c r="M40" s="43"/>
      <c r="N40" s="43"/>
    </row>
    <row r="41" spans="1:14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3"/>
      <c r="K41" s="44">
        <f t="shared" si="0"/>
        <v>0</v>
      </c>
      <c r="L41" s="43"/>
      <c r="M41" s="43"/>
      <c r="N41" s="43"/>
    </row>
    <row r="42" spans="1:14" ht="12.75">
      <c r="A42" s="50" t="s">
        <v>59</v>
      </c>
      <c r="B42" s="42">
        <v>113</v>
      </c>
      <c r="C42" s="163">
        <v>309200</v>
      </c>
      <c r="D42" s="163">
        <v>36718</v>
      </c>
      <c r="E42" s="163">
        <v>92760</v>
      </c>
      <c r="F42" s="163">
        <v>15460</v>
      </c>
      <c r="G42" s="163">
        <v>119815</v>
      </c>
      <c r="H42" s="43"/>
      <c r="I42" s="43"/>
      <c r="J42" s="163">
        <v>47829</v>
      </c>
      <c r="K42" s="44">
        <f t="shared" si="0"/>
        <v>621782</v>
      </c>
      <c r="L42" s="163">
        <v>15000</v>
      </c>
      <c r="M42" s="43">
        <v>1</v>
      </c>
      <c r="N42" s="43">
        <v>1</v>
      </c>
    </row>
    <row r="43" spans="1:14" ht="12.75">
      <c r="A43" s="50" t="s">
        <v>60</v>
      </c>
      <c r="B43" s="42">
        <v>114</v>
      </c>
      <c r="C43" s="163">
        <v>1159500</v>
      </c>
      <c r="D43" s="163">
        <v>111314</v>
      </c>
      <c r="E43" s="163">
        <v>347852</v>
      </c>
      <c r="F43" s="163">
        <v>52178</v>
      </c>
      <c r="G43" s="163">
        <v>248519</v>
      </c>
      <c r="H43" s="43"/>
      <c r="I43" s="43"/>
      <c r="J43" s="163">
        <v>159947</v>
      </c>
      <c r="K43" s="44">
        <f t="shared" si="0"/>
        <v>2079310</v>
      </c>
      <c r="L43" s="163">
        <v>165341</v>
      </c>
      <c r="M43" s="43">
        <v>4</v>
      </c>
      <c r="N43" s="43">
        <v>4</v>
      </c>
    </row>
    <row r="44" spans="1:14" ht="12.75">
      <c r="A44" s="50" t="s">
        <v>61</v>
      </c>
      <c r="B44" s="42">
        <v>115</v>
      </c>
      <c r="C44" s="163">
        <v>4869900</v>
      </c>
      <c r="D44" s="163">
        <v>483520</v>
      </c>
      <c r="E44" s="163">
        <v>1420388</v>
      </c>
      <c r="F44" s="163">
        <v>222238</v>
      </c>
      <c r="G44" s="163">
        <v>519070</v>
      </c>
      <c r="H44" s="43"/>
      <c r="I44" s="43"/>
      <c r="J44" s="163">
        <v>591636</v>
      </c>
      <c r="K44" s="44">
        <f t="shared" si="0"/>
        <v>8106752</v>
      </c>
      <c r="L44" s="163">
        <v>422018</v>
      </c>
      <c r="M44" s="43">
        <v>16</v>
      </c>
      <c r="N44" s="43">
        <v>16</v>
      </c>
    </row>
    <row r="45" spans="1:14" ht="12.75">
      <c r="A45" s="50" t="s">
        <v>62</v>
      </c>
      <c r="B45" s="42">
        <v>119</v>
      </c>
      <c r="C45" s="163">
        <v>15204492</v>
      </c>
      <c r="D45" s="163">
        <v>1716983</v>
      </c>
      <c r="E45" s="163">
        <v>4292325</v>
      </c>
      <c r="F45" s="163">
        <v>1339229</v>
      </c>
      <c r="G45" s="163">
        <v>707463</v>
      </c>
      <c r="H45" s="43"/>
      <c r="I45" s="43"/>
      <c r="J45" s="163">
        <v>1842495</v>
      </c>
      <c r="K45" s="44">
        <f t="shared" si="0"/>
        <v>25102987</v>
      </c>
      <c r="L45" s="163">
        <v>2349263</v>
      </c>
      <c r="M45" s="43">
        <v>80</v>
      </c>
      <c r="N45" s="43">
        <v>90</v>
      </c>
    </row>
    <row r="46" spans="1:14" ht="12.75">
      <c r="A46" s="50" t="s">
        <v>63</v>
      </c>
      <c r="B46" s="42">
        <v>120</v>
      </c>
      <c r="C46" s="163">
        <v>57366464</v>
      </c>
      <c r="D46" s="163">
        <v>8359128</v>
      </c>
      <c r="E46" s="163">
        <v>8871917</v>
      </c>
      <c r="F46" s="163">
        <v>561073</v>
      </c>
      <c r="G46" s="163">
        <v>16238810</v>
      </c>
      <c r="H46" s="43"/>
      <c r="I46" s="43"/>
      <c r="J46" s="163">
        <v>6455190</v>
      </c>
      <c r="K46" s="44">
        <f t="shared" si="0"/>
        <v>97852582</v>
      </c>
      <c r="L46" s="163">
        <v>19966366</v>
      </c>
      <c r="M46" s="43">
        <v>541</v>
      </c>
      <c r="N46" s="43">
        <v>630</v>
      </c>
    </row>
    <row r="47" spans="1:14" ht="12.75">
      <c r="A47" s="46" t="s">
        <v>74</v>
      </c>
      <c r="B47" s="47">
        <v>121</v>
      </c>
      <c r="C47" s="47">
        <f>SUM(C40:C46)</f>
        <v>78909556</v>
      </c>
      <c r="D47" s="47">
        <f aca="true" t="shared" si="4" ref="D47:J47">SUM(D40:D46)</f>
        <v>10707663</v>
      </c>
      <c r="E47" s="47">
        <f t="shared" si="4"/>
        <v>15025242</v>
      </c>
      <c r="F47" s="47">
        <f t="shared" si="4"/>
        <v>2190178</v>
      </c>
      <c r="G47" s="47">
        <f t="shared" si="4"/>
        <v>17833677</v>
      </c>
      <c r="H47" s="47">
        <f t="shared" si="4"/>
        <v>0</v>
      </c>
      <c r="I47" s="47">
        <f t="shared" si="4"/>
        <v>0</v>
      </c>
      <c r="J47" s="47">
        <f t="shared" si="4"/>
        <v>9097097</v>
      </c>
      <c r="K47" s="44">
        <f t="shared" si="0"/>
        <v>133763413</v>
      </c>
      <c r="L47" s="47">
        <f>SUM(L40:L46)</f>
        <v>22917988</v>
      </c>
      <c r="M47" s="47">
        <f>SUM(M40:M46)</f>
        <v>642</v>
      </c>
      <c r="N47" s="47">
        <f>SUM(N40:N46)</f>
        <v>741</v>
      </c>
    </row>
    <row r="48" spans="1:14" ht="12.75">
      <c r="A48" s="46" t="s">
        <v>119</v>
      </c>
      <c r="B48" s="47">
        <v>152</v>
      </c>
      <c r="C48" s="47">
        <f>C32+C39+C47</f>
        <v>88599209</v>
      </c>
      <c r="D48" s="47">
        <f aca="true" t="shared" si="5" ref="D48:J48">D32+D39+D47</f>
        <v>10707663</v>
      </c>
      <c r="E48" s="47">
        <f t="shared" si="5"/>
        <v>15025242</v>
      </c>
      <c r="F48" s="47">
        <f t="shared" si="5"/>
        <v>2230178</v>
      </c>
      <c r="G48" s="47">
        <f t="shared" si="5"/>
        <v>18397276</v>
      </c>
      <c r="H48" s="47">
        <f t="shared" si="5"/>
        <v>0</v>
      </c>
      <c r="I48" s="47">
        <f t="shared" si="5"/>
        <v>0</v>
      </c>
      <c r="J48" s="47">
        <f t="shared" si="5"/>
        <v>9966372</v>
      </c>
      <c r="K48" s="44">
        <f t="shared" si="0"/>
        <v>144925940</v>
      </c>
      <c r="L48" s="47">
        <f>L32+L39+L47</f>
        <v>24360322</v>
      </c>
      <c r="M48" s="47">
        <f>M32+M39+M47</f>
        <v>713</v>
      </c>
      <c r="N48" s="47">
        <f>N32+N39+N47</f>
        <v>792</v>
      </c>
    </row>
    <row r="49" spans="1:14" ht="12.75">
      <c r="A49" s="46" t="s">
        <v>51</v>
      </c>
      <c r="B49" s="47">
        <v>158</v>
      </c>
      <c r="C49" s="163">
        <v>718586</v>
      </c>
      <c r="D49" s="163"/>
      <c r="E49" s="163"/>
      <c r="F49" s="163"/>
      <c r="G49" s="163">
        <v>19600</v>
      </c>
      <c r="H49" s="51"/>
      <c r="I49" s="51"/>
      <c r="J49" s="163">
        <v>36159</v>
      </c>
      <c r="K49" s="44">
        <f t="shared" si="0"/>
        <v>774345</v>
      </c>
      <c r="L49" s="165">
        <v>21655</v>
      </c>
      <c r="M49" s="51">
        <v>3</v>
      </c>
      <c r="N49" s="51">
        <v>3</v>
      </c>
    </row>
    <row r="50" spans="1:14" ht="12.75">
      <c r="A50" s="46" t="s">
        <v>75</v>
      </c>
      <c r="B50" s="47">
        <v>159</v>
      </c>
      <c r="C50" s="47">
        <f>C48+C49</f>
        <v>89317795</v>
      </c>
      <c r="D50" s="47">
        <f aca="true" t="shared" si="6" ref="D50:J50">D48+D49</f>
        <v>10707663</v>
      </c>
      <c r="E50" s="47">
        <f t="shared" si="6"/>
        <v>15025242</v>
      </c>
      <c r="F50" s="47">
        <f t="shared" si="6"/>
        <v>2230178</v>
      </c>
      <c r="G50" s="47">
        <f t="shared" si="6"/>
        <v>18416876</v>
      </c>
      <c r="H50" s="47">
        <f t="shared" si="6"/>
        <v>0</v>
      </c>
      <c r="I50" s="47">
        <f t="shared" si="6"/>
        <v>0</v>
      </c>
      <c r="J50" s="47">
        <f t="shared" si="6"/>
        <v>10002531</v>
      </c>
      <c r="K50" s="44">
        <f t="shared" si="0"/>
        <v>145700285</v>
      </c>
      <c r="L50" s="47">
        <f>L48+L49</f>
        <v>24381977</v>
      </c>
      <c r="M50" s="47">
        <f>M48+M49</f>
        <v>716</v>
      </c>
      <c r="N50" s="47">
        <f>N48+N49</f>
        <v>795</v>
      </c>
    </row>
    <row r="51" spans="1:14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5"/>
      <c r="L51" s="114"/>
      <c r="M51" s="114"/>
      <c r="N51" s="116"/>
    </row>
    <row r="52" spans="1:14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7"/>
      <c r="N52" s="116"/>
    </row>
    <row r="53" spans="1:14" ht="12.75">
      <c r="A53" s="178" t="s">
        <v>3</v>
      </c>
      <c r="B53" s="136" t="s">
        <v>49</v>
      </c>
      <c r="C53" s="137" t="s">
        <v>4</v>
      </c>
      <c r="D53" s="137" t="s">
        <v>5</v>
      </c>
      <c r="E53" s="137" t="s">
        <v>6</v>
      </c>
      <c r="F53" s="137" t="s">
        <v>80</v>
      </c>
      <c r="G53" s="137" t="s">
        <v>81</v>
      </c>
      <c r="H53" s="137" t="s">
        <v>7</v>
      </c>
      <c r="I53" s="137" t="s">
        <v>42</v>
      </c>
      <c r="J53" s="137" t="s">
        <v>78</v>
      </c>
      <c r="K53" s="138" t="s">
        <v>155</v>
      </c>
      <c r="L53" s="137" t="s">
        <v>157</v>
      </c>
      <c r="M53" s="137" t="s">
        <v>159</v>
      </c>
      <c r="N53" s="116"/>
    </row>
    <row r="54" spans="1:14" ht="12.75">
      <c r="A54" s="179"/>
      <c r="B54" s="54" t="s">
        <v>50</v>
      </c>
      <c r="C54" s="55" t="s">
        <v>9</v>
      </c>
      <c r="D54" s="55" t="s">
        <v>10</v>
      </c>
      <c r="E54" s="55" t="s">
        <v>11</v>
      </c>
      <c r="F54" s="55" t="s">
        <v>10</v>
      </c>
      <c r="G54" s="55" t="s">
        <v>12</v>
      </c>
      <c r="H54" s="55" t="s">
        <v>13</v>
      </c>
      <c r="I54" s="55" t="s">
        <v>43</v>
      </c>
      <c r="J54" s="55" t="s">
        <v>79</v>
      </c>
      <c r="K54" s="117" t="s">
        <v>156</v>
      </c>
      <c r="L54" s="55" t="s">
        <v>158</v>
      </c>
      <c r="M54" s="55" t="s">
        <v>54</v>
      </c>
      <c r="N54" s="116"/>
    </row>
    <row r="55" spans="1:15" ht="12.75">
      <c r="A55" s="56" t="s">
        <v>32</v>
      </c>
      <c r="B55" s="57">
        <f>IF(A55="","",VLOOKUP(A55,$A$12:$B$50,2,FALSE))</f>
        <v>83</v>
      </c>
      <c r="C55" s="57">
        <v>-5913</v>
      </c>
      <c r="D55" s="57"/>
      <c r="E55" s="57"/>
      <c r="F55" s="57"/>
      <c r="G55" s="57"/>
      <c r="H55" s="57"/>
      <c r="I55" s="57"/>
      <c r="J55" s="57"/>
      <c r="K55" s="118">
        <f>SUM(C55:J55)</f>
        <v>-5913</v>
      </c>
      <c r="L55" s="57">
        <v>9396</v>
      </c>
      <c r="M55" s="58">
        <v>1</v>
      </c>
      <c r="N55" s="119"/>
      <c r="O55" s="45"/>
    </row>
    <row r="56" spans="1:15" ht="12.75">
      <c r="A56" s="60" t="s">
        <v>33</v>
      </c>
      <c r="B56" s="61">
        <f>IF(A56="","",VLOOKUP(A56,$A$12:$B$50,2,FALSE))</f>
        <v>84</v>
      </c>
      <c r="C56" s="61">
        <v>417408</v>
      </c>
      <c r="D56" s="61"/>
      <c r="E56" s="61"/>
      <c r="F56" s="61"/>
      <c r="G56" s="61"/>
      <c r="H56" s="61"/>
      <c r="I56" s="61"/>
      <c r="J56" s="61">
        <v>68391</v>
      </c>
      <c r="K56" s="118">
        <f>SUM(C56:J56)</f>
        <v>485799</v>
      </c>
      <c r="L56" s="61">
        <v>229660</v>
      </c>
      <c r="M56" s="62">
        <v>5</v>
      </c>
      <c r="N56" s="119"/>
      <c r="O56" s="45"/>
    </row>
    <row r="57" spans="1:15" ht="12.75">
      <c r="A57" s="60" t="s">
        <v>62</v>
      </c>
      <c r="B57" s="61">
        <f>IF(A57="","",VLOOKUP(A57,$A$12:$B$50,2,FALSE))</f>
        <v>119</v>
      </c>
      <c r="C57" s="61">
        <v>17603</v>
      </c>
      <c r="D57" s="61">
        <v>5153</v>
      </c>
      <c r="E57" s="61">
        <v>12285</v>
      </c>
      <c r="F57" s="61">
        <v>0</v>
      </c>
      <c r="G57" s="61">
        <v>33469</v>
      </c>
      <c r="H57" s="61"/>
      <c r="I57" s="61"/>
      <c r="J57" s="61">
        <v>108</v>
      </c>
      <c r="K57" s="118">
        <f>SUM(C57:J57)</f>
        <v>68618</v>
      </c>
      <c r="L57" s="61">
        <v>91170</v>
      </c>
      <c r="M57" s="62">
        <v>2</v>
      </c>
      <c r="N57" s="119"/>
      <c r="O57" s="45"/>
    </row>
    <row r="58" spans="1:15" ht="12.75">
      <c r="A58" s="60" t="s">
        <v>63</v>
      </c>
      <c r="B58" s="61">
        <f>IF(A58="","",VLOOKUP(A58,$A$12:$B$50,2,FALSE))</f>
        <v>120</v>
      </c>
      <c r="C58" s="61">
        <v>181329</v>
      </c>
      <c r="D58" s="61">
        <v>31693</v>
      </c>
      <c r="E58" s="61">
        <v>37160</v>
      </c>
      <c r="F58" s="61">
        <v>0</v>
      </c>
      <c r="G58" s="61">
        <v>55654</v>
      </c>
      <c r="H58" s="61"/>
      <c r="I58" s="61"/>
      <c r="J58" s="61">
        <v>4739</v>
      </c>
      <c r="K58" s="118">
        <f>SUM(C58:J58)</f>
        <v>310575</v>
      </c>
      <c r="L58" s="61">
        <v>1304620</v>
      </c>
      <c r="M58" s="62">
        <v>11</v>
      </c>
      <c r="N58" s="59"/>
      <c r="O58" s="45"/>
    </row>
    <row r="60" spans="1:5" ht="12.75">
      <c r="A60" s="63" t="s">
        <v>21</v>
      </c>
      <c r="B60" s="175" t="s">
        <v>216</v>
      </c>
      <c r="C60" s="175"/>
      <c r="D60" s="175"/>
      <c r="E60" s="64"/>
    </row>
    <row r="61" spans="10:11" ht="12.75">
      <c r="J61" s="174" t="s">
        <v>211</v>
      </c>
      <c r="K61" s="174"/>
    </row>
    <row r="62" spans="10:11" ht="12.75">
      <c r="J62" s="173" t="s">
        <v>48</v>
      </c>
      <c r="K62" s="173"/>
    </row>
  </sheetData>
  <sheetProtection/>
  <mergeCells count="14">
    <mergeCell ref="A53:A54"/>
    <mergeCell ref="A52:M52"/>
    <mergeCell ref="K3:L3"/>
    <mergeCell ref="K2:L2"/>
    <mergeCell ref="B60:D60"/>
    <mergeCell ref="J61:K61"/>
    <mergeCell ref="J62:K62"/>
    <mergeCell ref="F5:M5"/>
    <mergeCell ref="A5:D5"/>
    <mergeCell ref="C10:D10"/>
    <mergeCell ref="M9:N9"/>
    <mergeCell ref="M7:M8"/>
    <mergeCell ref="N7:N8"/>
    <mergeCell ref="C7:D7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9" ht="12.75">
      <c r="A2" s="3" t="s">
        <v>71</v>
      </c>
      <c r="G2" s="5" t="s">
        <v>0</v>
      </c>
      <c r="H2" s="198" t="s">
        <v>215</v>
      </c>
      <c r="I2" s="170"/>
    </row>
    <row r="3" spans="1:9" ht="12.75">
      <c r="A3" s="3"/>
      <c r="G3" s="5" t="s">
        <v>77</v>
      </c>
      <c r="H3" s="169" t="s">
        <v>208</v>
      </c>
      <c r="I3" s="170"/>
    </row>
    <row r="4" ht="18" customHeight="1">
      <c r="A4" s="6"/>
    </row>
    <row r="5" spans="1:10" ht="18">
      <c r="A5" s="172" t="s">
        <v>85</v>
      </c>
      <c r="B5" s="172"/>
      <c r="C5" s="172"/>
      <c r="D5" s="172"/>
      <c r="E5" s="172"/>
      <c r="F5" s="7" t="s">
        <v>83</v>
      </c>
      <c r="G5" s="171" t="s">
        <v>170</v>
      </c>
      <c r="H5" s="171"/>
      <c r="I5" s="171"/>
      <c r="J5" s="17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21" t="s">
        <v>115</v>
      </c>
      <c r="E7" s="121"/>
      <c r="F7" s="16" t="s">
        <v>107</v>
      </c>
      <c r="G7" s="16" t="s">
        <v>110</v>
      </c>
      <c r="H7" s="16" t="s">
        <v>112</v>
      </c>
      <c r="I7" s="16" t="s">
        <v>112</v>
      </c>
      <c r="J7" s="122" t="s">
        <v>112</v>
      </c>
    </row>
    <row r="8" spans="1:10" ht="12.75">
      <c r="A8" s="123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4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4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7" t="s">
        <v>181</v>
      </c>
      <c r="G10" s="27" t="s">
        <v>183</v>
      </c>
      <c r="H10" s="27" t="s">
        <v>187</v>
      </c>
      <c r="I10" s="27" t="s">
        <v>184</v>
      </c>
      <c r="J10" s="146" t="s">
        <v>182</v>
      </c>
    </row>
    <row r="11" spans="1:10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125"/>
    </row>
    <row r="12" spans="1:15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4">
        <f>SUM(C12:I12)</f>
        <v>0</v>
      </c>
      <c r="K12" s="64"/>
      <c r="L12" s="64"/>
      <c r="M12" s="64"/>
      <c r="N12" s="64"/>
      <c r="O12" s="64"/>
    </row>
    <row r="13" spans="1:15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4">
        <f aca="true" t="shared" si="0" ref="J13:J50">SUM(C13:I13)</f>
        <v>0</v>
      </c>
      <c r="K13" s="64"/>
      <c r="L13" s="64"/>
      <c r="M13" s="64"/>
      <c r="N13" s="64"/>
      <c r="O13" s="64"/>
    </row>
    <row r="14" spans="1:15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4">
        <f t="shared" si="0"/>
        <v>0</v>
      </c>
      <c r="K14" s="64"/>
      <c r="L14" s="64"/>
      <c r="M14" s="64"/>
      <c r="N14" s="64"/>
      <c r="O14" s="64"/>
    </row>
    <row r="15" spans="1:15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4">
        <f t="shared" si="0"/>
        <v>0</v>
      </c>
      <c r="K15" s="64"/>
      <c r="L15" s="64"/>
      <c r="M15" s="64"/>
      <c r="N15" s="64"/>
      <c r="O15" s="64"/>
    </row>
    <row r="16" spans="1:15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4">
        <f t="shared" si="0"/>
        <v>0</v>
      </c>
      <c r="K16" s="64"/>
      <c r="L16" s="64"/>
      <c r="M16" s="64"/>
      <c r="N16" s="64"/>
      <c r="O16" s="64"/>
    </row>
    <row r="17" spans="1:15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4">
        <f t="shared" si="0"/>
        <v>0</v>
      </c>
      <c r="K17" s="64"/>
      <c r="L17" s="64"/>
      <c r="M17" s="64"/>
      <c r="N17" s="64"/>
      <c r="O17" s="64"/>
    </row>
    <row r="18" spans="1:15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4">
        <f t="shared" si="0"/>
        <v>0</v>
      </c>
      <c r="K18" s="64"/>
      <c r="L18" s="64"/>
      <c r="M18" s="64"/>
      <c r="N18" s="64"/>
      <c r="O18" s="64"/>
    </row>
    <row r="19" spans="1:15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4">
        <f t="shared" si="0"/>
        <v>0</v>
      </c>
      <c r="K19" s="64"/>
      <c r="L19" s="64"/>
      <c r="M19" s="64"/>
      <c r="N19" s="64"/>
      <c r="O19" s="64"/>
    </row>
    <row r="20" spans="1:15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4">
        <f t="shared" si="0"/>
        <v>0</v>
      </c>
      <c r="K20" s="64"/>
      <c r="L20" s="64"/>
      <c r="M20" s="64"/>
      <c r="N20" s="64"/>
      <c r="O20" s="64"/>
    </row>
    <row r="21" spans="1:15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4">
        <f t="shared" si="0"/>
        <v>0</v>
      </c>
      <c r="K21" s="64"/>
      <c r="L21" s="64"/>
      <c r="M21" s="64"/>
      <c r="N21" s="64"/>
      <c r="O21" s="64"/>
    </row>
    <row r="22" spans="1:18" s="45" customFormat="1" ht="12.75" customHeight="1">
      <c r="A22" s="41" t="s">
        <v>38</v>
      </c>
      <c r="B22" s="42">
        <v>81</v>
      </c>
      <c r="C22" s="43">
        <v>180876</v>
      </c>
      <c r="D22" s="43"/>
      <c r="E22" s="43">
        <v>18207</v>
      </c>
      <c r="F22" s="43">
        <v>9750</v>
      </c>
      <c r="G22" s="43"/>
      <c r="H22" s="43"/>
      <c r="I22" s="43"/>
      <c r="J22" s="44">
        <f t="shared" si="0"/>
        <v>208833</v>
      </c>
      <c r="K22" s="64"/>
      <c r="L22" s="64"/>
      <c r="M22" s="64"/>
      <c r="N22" s="64"/>
      <c r="O22" s="64"/>
      <c r="P22" s="2"/>
      <c r="Q22" s="2"/>
      <c r="R22" s="2"/>
    </row>
    <row r="23" spans="1:15" ht="12.75">
      <c r="A23" s="41" t="s">
        <v>39</v>
      </c>
      <c r="B23" s="42">
        <v>82</v>
      </c>
      <c r="C23" s="43">
        <v>40611</v>
      </c>
      <c r="D23" s="43"/>
      <c r="E23" s="43">
        <v>4202</v>
      </c>
      <c r="F23" s="43">
        <v>1950</v>
      </c>
      <c r="G23" s="43"/>
      <c r="H23" s="43"/>
      <c r="I23" s="43"/>
      <c r="J23" s="44">
        <f t="shared" si="0"/>
        <v>46763</v>
      </c>
      <c r="K23" s="64"/>
      <c r="L23" s="64"/>
      <c r="M23" s="64"/>
      <c r="N23" s="64"/>
      <c r="O23" s="64"/>
    </row>
    <row r="24" spans="1:15" ht="12.75">
      <c r="A24" s="41" t="s">
        <v>32</v>
      </c>
      <c r="B24" s="42">
        <v>83</v>
      </c>
      <c r="C24" s="43">
        <v>185419</v>
      </c>
      <c r="D24" s="43"/>
      <c r="E24" s="43">
        <v>19181</v>
      </c>
      <c r="F24" s="43">
        <v>7930</v>
      </c>
      <c r="G24" s="43"/>
      <c r="H24" s="43"/>
      <c r="I24" s="43"/>
      <c r="J24" s="44">
        <f t="shared" si="0"/>
        <v>212530</v>
      </c>
      <c r="K24" s="64"/>
      <c r="L24" s="64"/>
      <c r="M24" s="64"/>
      <c r="N24" s="64"/>
      <c r="O24" s="64"/>
    </row>
    <row r="25" spans="1:15" ht="12.75">
      <c r="A25" s="41" t="s">
        <v>33</v>
      </c>
      <c r="B25" s="42">
        <v>84</v>
      </c>
      <c r="C25" s="43">
        <v>1997367</v>
      </c>
      <c r="D25" s="43"/>
      <c r="E25" s="43">
        <v>199045</v>
      </c>
      <c r="F25" s="43">
        <v>79885</v>
      </c>
      <c r="G25" s="43"/>
      <c r="H25" s="43"/>
      <c r="I25" s="43"/>
      <c r="J25" s="44">
        <f t="shared" si="0"/>
        <v>2276297</v>
      </c>
      <c r="K25" s="64"/>
      <c r="L25" s="64"/>
      <c r="M25" s="64"/>
      <c r="N25" s="64"/>
      <c r="O25" s="64"/>
    </row>
    <row r="26" spans="1:15" ht="12.75">
      <c r="A26" s="41" t="s">
        <v>34</v>
      </c>
      <c r="B26" s="42">
        <v>85</v>
      </c>
      <c r="C26" s="43">
        <v>159462</v>
      </c>
      <c r="D26" s="43"/>
      <c r="E26" s="43">
        <v>16497</v>
      </c>
      <c r="F26" s="43">
        <v>3900</v>
      </c>
      <c r="G26" s="43"/>
      <c r="H26" s="43"/>
      <c r="I26" s="43"/>
      <c r="J26" s="44">
        <f t="shared" si="0"/>
        <v>179859</v>
      </c>
      <c r="K26" s="64"/>
      <c r="L26" s="64"/>
      <c r="M26" s="64"/>
      <c r="N26" s="64"/>
      <c r="O26" s="64"/>
    </row>
    <row r="27" spans="1:15" ht="12.75">
      <c r="A27" s="41" t="s">
        <v>35</v>
      </c>
      <c r="B27" s="42">
        <v>86</v>
      </c>
      <c r="C27" s="43">
        <v>462297</v>
      </c>
      <c r="D27" s="43"/>
      <c r="E27" s="43">
        <v>47825</v>
      </c>
      <c r="F27" s="43">
        <v>11505</v>
      </c>
      <c r="G27" s="43"/>
      <c r="H27" s="43"/>
      <c r="I27" s="43"/>
      <c r="J27" s="44">
        <f t="shared" si="0"/>
        <v>521627</v>
      </c>
      <c r="K27" s="64"/>
      <c r="L27" s="64"/>
      <c r="M27" s="64"/>
      <c r="N27" s="64"/>
      <c r="O27" s="64"/>
    </row>
    <row r="28" spans="1:15" ht="12.75">
      <c r="A28" s="41" t="s">
        <v>36</v>
      </c>
      <c r="B28" s="42">
        <v>87</v>
      </c>
      <c r="C28" s="43">
        <v>106196</v>
      </c>
      <c r="D28" s="43"/>
      <c r="E28" s="43">
        <v>10986</v>
      </c>
      <c r="F28" s="43">
        <v>1950</v>
      </c>
      <c r="G28" s="43"/>
      <c r="H28" s="43"/>
      <c r="I28" s="43"/>
      <c r="J28" s="44">
        <f t="shared" si="0"/>
        <v>119132</v>
      </c>
      <c r="K28" s="64"/>
      <c r="L28" s="64"/>
      <c r="M28" s="64"/>
      <c r="N28" s="64"/>
      <c r="O28" s="64"/>
    </row>
    <row r="29" spans="1:15" ht="12.75">
      <c r="A29" s="41" t="s">
        <v>37</v>
      </c>
      <c r="B29" s="42">
        <v>88</v>
      </c>
      <c r="C29" s="43">
        <v>272761</v>
      </c>
      <c r="D29" s="43"/>
      <c r="E29" s="43">
        <v>28217</v>
      </c>
      <c r="F29" s="43">
        <v>5850</v>
      </c>
      <c r="G29" s="43"/>
      <c r="H29" s="43"/>
      <c r="I29" s="43"/>
      <c r="J29" s="44">
        <f t="shared" si="0"/>
        <v>306828</v>
      </c>
      <c r="K29" s="64"/>
      <c r="L29" s="64"/>
      <c r="M29" s="64"/>
      <c r="N29" s="64"/>
      <c r="O29" s="64"/>
    </row>
    <row r="30" spans="1:15" ht="12.75">
      <c r="A30" s="41" t="s">
        <v>40</v>
      </c>
      <c r="B30" s="42">
        <v>89</v>
      </c>
      <c r="C30" s="43">
        <v>453846</v>
      </c>
      <c r="D30" s="43"/>
      <c r="E30" s="43">
        <v>46581</v>
      </c>
      <c r="F30" s="43">
        <v>7800</v>
      </c>
      <c r="G30" s="43"/>
      <c r="H30" s="43"/>
      <c r="I30" s="43"/>
      <c r="J30" s="44">
        <f t="shared" si="0"/>
        <v>508227</v>
      </c>
      <c r="K30" s="64"/>
      <c r="L30" s="64"/>
      <c r="M30" s="64"/>
      <c r="N30" s="64"/>
      <c r="O30" s="64"/>
    </row>
    <row r="31" spans="1:15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4">
        <f t="shared" si="0"/>
        <v>0</v>
      </c>
      <c r="K31" s="64"/>
      <c r="L31" s="64"/>
      <c r="M31" s="64"/>
      <c r="N31" s="64"/>
      <c r="O31" s="64"/>
    </row>
    <row r="32" spans="1:15" s="48" customFormat="1" ht="12.75">
      <c r="A32" s="46" t="s">
        <v>73</v>
      </c>
      <c r="B32" s="42">
        <v>92</v>
      </c>
      <c r="C32" s="47">
        <f aca="true" t="shared" si="1" ref="C32:I32">SUM(C12:C31)</f>
        <v>3858835</v>
      </c>
      <c r="D32" s="47">
        <f>SUM(D12:D31)</f>
        <v>0</v>
      </c>
      <c r="E32" s="47">
        <f t="shared" si="1"/>
        <v>390741</v>
      </c>
      <c r="F32" s="47">
        <f t="shared" si="1"/>
        <v>130520</v>
      </c>
      <c r="G32" s="47">
        <v>137196</v>
      </c>
      <c r="H32" s="47">
        <f t="shared" si="1"/>
        <v>0</v>
      </c>
      <c r="I32" s="47">
        <f t="shared" si="1"/>
        <v>0</v>
      </c>
      <c r="J32" s="44">
        <f t="shared" si="0"/>
        <v>4517292</v>
      </c>
      <c r="K32" s="126"/>
      <c r="L32" s="126"/>
      <c r="M32" s="126"/>
      <c r="N32" s="126"/>
      <c r="O32" s="126"/>
    </row>
    <row r="33" spans="1:15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4">
        <f t="shared" si="0"/>
        <v>0</v>
      </c>
      <c r="K33" s="64"/>
      <c r="L33" s="64"/>
      <c r="M33" s="64"/>
      <c r="N33" s="64"/>
      <c r="O33" s="64"/>
    </row>
    <row r="34" spans="1:15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4">
        <f t="shared" si="0"/>
        <v>0</v>
      </c>
      <c r="K34" s="64"/>
      <c r="L34" s="64"/>
      <c r="M34" s="64"/>
      <c r="N34" s="64"/>
      <c r="O34" s="64"/>
    </row>
    <row r="35" spans="1:15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4">
        <f t="shared" si="0"/>
        <v>0</v>
      </c>
      <c r="K35" s="64"/>
      <c r="L35" s="64"/>
      <c r="M35" s="64"/>
      <c r="N35" s="64"/>
      <c r="O35" s="64"/>
    </row>
    <row r="36" spans="1:15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4">
        <f t="shared" si="0"/>
        <v>0</v>
      </c>
      <c r="K36" s="64"/>
      <c r="L36" s="64"/>
      <c r="M36" s="64"/>
      <c r="N36" s="64"/>
      <c r="O36" s="64"/>
    </row>
    <row r="37" spans="1:15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4">
        <f t="shared" si="0"/>
        <v>0</v>
      </c>
      <c r="K37" s="64"/>
      <c r="L37" s="64"/>
      <c r="M37" s="64"/>
      <c r="N37" s="64"/>
      <c r="O37" s="64"/>
    </row>
    <row r="38" spans="1:15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4">
        <f t="shared" si="0"/>
        <v>0</v>
      </c>
      <c r="K38" s="64"/>
      <c r="L38" s="64"/>
      <c r="M38" s="64"/>
      <c r="N38" s="64"/>
      <c r="O38" s="64"/>
    </row>
    <row r="39" spans="1:15" s="48" customFormat="1" ht="12.75">
      <c r="A39" s="46" t="s">
        <v>72</v>
      </c>
      <c r="B39" s="42">
        <v>110</v>
      </c>
      <c r="C39" s="47">
        <f aca="true" t="shared" si="2" ref="C39:I39">SUM(C33:C38)</f>
        <v>0</v>
      </c>
      <c r="D39" s="47">
        <f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4">
        <f t="shared" si="0"/>
        <v>0</v>
      </c>
      <c r="K39" s="126"/>
      <c r="L39" s="126"/>
      <c r="M39" s="126"/>
      <c r="N39" s="126"/>
      <c r="O39" s="126"/>
    </row>
    <row r="40" spans="1:15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4">
        <f t="shared" si="0"/>
        <v>0</v>
      </c>
      <c r="K40" s="64"/>
      <c r="L40" s="64"/>
      <c r="M40" s="64"/>
      <c r="N40" s="64"/>
      <c r="O40" s="64"/>
    </row>
    <row r="41" spans="1:15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4">
        <f t="shared" si="0"/>
        <v>0</v>
      </c>
      <c r="K41" s="64"/>
      <c r="L41" s="64"/>
      <c r="M41" s="64"/>
      <c r="N41" s="64"/>
      <c r="O41" s="64"/>
    </row>
    <row r="42" spans="1:15" ht="12.75">
      <c r="A42" s="50" t="s">
        <v>59</v>
      </c>
      <c r="B42" s="42">
        <v>113</v>
      </c>
      <c r="C42" s="43">
        <f>152828+28655+3184</f>
        <v>184667</v>
      </c>
      <c r="D42" s="43"/>
      <c r="E42" s="43">
        <v>19104</v>
      </c>
      <c r="F42" s="43">
        <v>1950</v>
      </c>
      <c r="G42" s="43"/>
      <c r="H42" s="43"/>
      <c r="I42" s="43"/>
      <c r="J42" s="44">
        <f t="shared" si="0"/>
        <v>205721</v>
      </c>
      <c r="K42" s="64"/>
      <c r="L42" s="64"/>
      <c r="M42" s="64"/>
      <c r="N42" s="64"/>
      <c r="O42" s="64"/>
    </row>
    <row r="43" spans="1:15" ht="12.75">
      <c r="A43" s="50" t="s">
        <v>60</v>
      </c>
      <c r="B43" s="42">
        <v>114</v>
      </c>
      <c r="C43" s="43">
        <f>538720+101008+11224</f>
        <v>650952</v>
      </c>
      <c r="D43" s="43"/>
      <c r="E43" s="43">
        <v>67341</v>
      </c>
      <c r="F43" s="43">
        <v>7800</v>
      </c>
      <c r="G43" s="43"/>
      <c r="H43" s="43"/>
      <c r="I43" s="43"/>
      <c r="J43" s="44">
        <f t="shared" si="0"/>
        <v>726093</v>
      </c>
      <c r="K43" s="64"/>
      <c r="L43" s="64"/>
      <c r="M43" s="64"/>
      <c r="N43" s="64"/>
      <c r="O43" s="64"/>
    </row>
    <row r="44" spans="1:15" ht="12.75">
      <c r="A44" s="50" t="s">
        <v>61</v>
      </c>
      <c r="B44" s="42">
        <v>115</v>
      </c>
      <c r="C44" s="43">
        <f>2049631+384307+42706</f>
        <v>2476644</v>
      </c>
      <c r="D44" s="43"/>
      <c r="E44" s="43">
        <v>255866</v>
      </c>
      <c r="F44" s="43">
        <v>32110</v>
      </c>
      <c r="G44" s="43"/>
      <c r="H44" s="43"/>
      <c r="I44" s="43"/>
      <c r="J44" s="44">
        <f t="shared" si="0"/>
        <v>2764620</v>
      </c>
      <c r="K44" s="64"/>
      <c r="L44" s="64"/>
      <c r="M44" s="64"/>
      <c r="N44" s="64"/>
      <c r="O44" s="64"/>
    </row>
    <row r="45" spans="1:15" ht="12.75">
      <c r="A45" s="50" t="s">
        <v>62</v>
      </c>
      <c r="B45" s="42">
        <v>119</v>
      </c>
      <c r="C45" s="43">
        <f>6588545+1235364+156163</f>
        <v>7980072</v>
      </c>
      <c r="D45" s="43"/>
      <c r="E45" s="43">
        <v>819069</v>
      </c>
      <c r="F45" s="43">
        <v>142607</v>
      </c>
      <c r="G45" s="43"/>
      <c r="H45" s="43"/>
      <c r="I45" s="43"/>
      <c r="J45" s="44">
        <f t="shared" si="0"/>
        <v>8941748</v>
      </c>
      <c r="K45" s="64"/>
      <c r="L45" s="64"/>
      <c r="M45" s="64"/>
      <c r="N45" s="64"/>
      <c r="O45" s="64"/>
    </row>
    <row r="46" spans="1:15" ht="12.75">
      <c r="A46" s="50" t="s">
        <v>63</v>
      </c>
      <c r="B46" s="42">
        <v>120</v>
      </c>
      <c r="C46" s="43">
        <f>28498510+5327211+592742</f>
        <v>34418463</v>
      </c>
      <c r="D46" s="43"/>
      <c r="E46" s="43">
        <v>3553203</v>
      </c>
      <c r="F46" s="43">
        <v>992485</v>
      </c>
      <c r="G46" s="43"/>
      <c r="H46" s="43"/>
      <c r="I46" s="43"/>
      <c r="J46" s="44">
        <f t="shared" si="0"/>
        <v>38964151</v>
      </c>
      <c r="K46" s="64"/>
      <c r="L46" s="64"/>
      <c r="M46" s="64"/>
      <c r="N46" s="64"/>
      <c r="O46" s="64"/>
    </row>
    <row r="47" spans="1:15" s="48" customFormat="1" ht="12.75">
      <c r="A47" s="46" t="s">
        <v>74</v>
      </c>
      <c r="B47" s="47">
        <v>121</v>
      </c>
      <c r="C47" s="47">
        <f aca="true" t="shared" si="3" ref="C47:I47">SUM(C40:C46)</f>
        <v>45710798</v>
      </c>
      <c r="D47" s="47">
        <f>SUM(D40:D46)</f>
        <v>0</v>
      </c>
      <c r="E47" s="47">
        <f t="shared" si="3"/>
        <v>4714583</v>
      </c>
      <c r="F47" s="47">
        <f t="shared" si="3"/>
        <v>1176952</v>
      </c>
      <c r="G47" s="47">
        <v>983906</v>
      </c>
      <c r="H47" s="47">
        <f t="shared" si="3"/>
        <v>0</v>
      </c>
      <c r="I47" s="47">
        <f t="shared" si="3"/>
        <v>0</v>
      </c>
      <c r="J47" s="44">
        <f t="shared" si="0"/>
        <v>52586239</v>
      </c>
      <c r="K47" s="126"/>
      <c r="L47" s="126"/>
      <c r="M47" s="126"/>
      <c r="N47" s="126"/>
      <c r="O47" s="126"/>
    </row>
    <row r="48" spans="1:15" s="48" customFormat="1" ht="12.75">
      <c r="A48" s="46" t="s">
        <v>119</v>
      </c>
      <c r="B48" s="47">
        <v>152</v>
      </c>
      <c r="C48" s="47">
        <f aca="true" t="shared" si="4" ref="C48:I48">C32+C39+C47</f>
        <v>49569633</v>
      </c>
      <c r="D48" s="47">
        <f>D32+D39+D47</f>
        <v>0</v>
      </c>
      <c r="E48" s="47">
        <f t="shared" si="4"/>
        <v>5105324</v>
      </c>
      <c r="F48" s="47">
        <f t="shared" si="4"/>
        <v>1307472</v>
      </c>
      <c r="G48" s="47">
        <f t="shared" si="4"/>
        <v>1121102</v>
      </c>
      <c r="H48" s="47">
        <f t="shared" si="4"/>
        <v>0</v>
      </c>
      <c r="I48" s="47">
        <f t="shared" si="4"/>
        <v>0</v>
      </c>
      <c r="J48" s="44">
        <f t="shared" si="0"/>
        <v>57103531</v>
      </c>
      <c r="K48" s="126"/>
      <c r="L48" s="126"/>
      <c r="M48" s="126"/>
      <c r="N48" s="126"/>
      <c r="O48" s="126"/>
    </row>
    <row r="49" spans="1:15" s="48" customFormat="1" ht="12.75">
      <c r="A49" s="46" t="s">
        <v>51</v>
      </c>
      <c r="B49" s="47">
        <v>158</v>
      </c>
      <c r="C49" s="51">
        <v>236017</v>
      </c>
      <c r="D49" s="51"/>
      <c r="E49" s="51">
        <v>23881</v>
      </c>
      <c r="F49" s="51">
        <v>3901</v>
      </c>
      <c r="G49" s="51"/>
      <c r="H49" s="51"/>
      <c r="I49" s="51"/>
      <c r="J49" s="44">
        <f t="shared" si="0"/>
        <v>263799</v>
      </c>
      <c r="K49" s="126"/>
      <c r="L49" s="126"/>
      <c r="M49" s="126"/>
      <c r="N49" s="126"/>
      <c r="O49" s="126"/>
    </row>
    <row r="50" spans="1:15" s="48" customFormat="1" ht="12.75">
      <c r="A50" s="46" t="s">
        <v>75</v>
      </c>
      <c r="B50" s="47">
        <v>159</v>
      </c>
      <c r="C50" s="47">
        <f aca="true" t="shared" si="5" ref="C50:I50">C48+C49</f>
        <v>49805650</v>
      </c>
      <c r="D50" s="47">
        <f>D48+D49</f>
        <v>0</v>
      </c>
      <c r="E50" s="47">
        <f t="shared" si="5"/>
        <v>5129205</v>
      </c>
      <c r="F50" s="47">
        <f t="shared" si="5"/>
        <v>1311373</v>
      </c>
      <c r="G50" s="47">
        <f t="shared" si="5"/>
        <v>1121102</v>
      </c>
      <c r="H50" s="47">
        <f t="shared" si="5"/>
        <v>0</v>
      </c>
      <c r="I50" s="47">
        <f t="shared" si="5"/>
        <v>0</v>
      </c>
      <c r="J50" s="44">
        <f t="shared" si="0"/>
        <v>57367330</v>
      </c>
      <c r="K50" s="126"/>
      <c r="L50" s="126"/>
      <c r="M50" s="126"/>
      <c r="N50" s="126"/>
      <c r="O50" s="126"/>
    </row>
    <row r="51" spans="1:14" s="48" customFormat="1" ht="12.75">
      <c r="A51" s="113"/>
      <c r="B51" s="114"/>
      <c r="C51" s="114"/>
      <c r="D51" s="114"/>
      <c r="E51" s="114"/>
      <c r="F51" s="114"/>
      <c r="G51" s="114"/>
      <c r="H51" s="114"/>
      <c r="I51" s="114"/>
      <c r="J51" s="115"/>
      <c r="K51" s="52"/>
      <c r="L51" s="52"/>
      <c r="M51" s="52"/>
      <c r="N51" s="52"/>
    </row>
    <row r="52" spans="1:14" s="48" customFormat="1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39"/>
      <c r="N52" s="135"/>
    </row>
    <row r="53" spans="1:14" s="48" customFormat="1" ht="12.75">
      <c r="A53" s="178" t="s">
        <v>3</v>
      </c>
      <c r="B53" s="136" t="s">
        <v>49</v>
      </c>
      <c r="C53" s="137" t="s">
        <v>188</v>
      </c>
      <c r="D53" s="137" t="s">
        <v>189</v>
      </c>
      <c r="E53" s="137" t="s">
        <v>106</v>
      </c>
      <c r="F53" s="137" t="s">
        <v>190</v>
      </c>
      <c r="G53" s="137" t="s">
        <v>191</v>
      </c>
      <c r="H53" s="137" t="s">
        <v>192</v>
      </c>
      <c r="I53" s="137" t="s">
        <v>192</v>
      </c>
      <c r="J53" s="137" t="s">
        <v>192</v>
      </c>
      <c r="K53" s="191" t="s">
        <v>160</v>
      </c>
      <c r="L53" s="192"/>
      <c r="M53" s="127"/>
      <c r="N53" s="128"/>
    </row>
    <row r="54" spans="1:14" s="48" customFormat="1" ht="12.75">
      <c r="A54" s="179"/>
      <c r="B54" s="54" t="s">
        <v>50</v>
      </c>
      <c r="C54" s="55" t="s">
        <v>105</v>
      </c>
      <c r="D54" s="55" t="s">
        <v>105</v>
      </c>
      <c r="E54" s="55" t="s">
        <v>105</v>
      </c>
      <c r="F54" s="55" t="s">
        <v>109</v>
      </c>
      <c r="G54" s="55" t="s">
        <v>109</v>
      </c>
      <c r="H54" s="55" t="s">
        <v>193</v>
      </c>
      <c r="I54" s="55" t="s">
        <v>194</v>
      </c>
      <c r="J54" s="117" t="s">
        <v>114</v>
      </c>
      <c r="K54" s="54" t="s">
        <v>162</v>
      </c>
      <c r="L54" s="129" t="s">
        <v>161</v>
      </c>
      <c r="M54" s="127"/>
      <c r="N54" s="128"/>
    </row>
    <row r="55" spans="1:16" s="48" customFormat="1" ht="12.75">
      <c r="A55" s="56" t="s">
        <v>32</v>
      </c>
      <c r="B55" s="57">
        <f>IF(A55="","",VLOOKUP(A55,$A$12:$B$50,2,FALSE))</f>
        <v>83</v>
      </c>
      <c r="C55" s="57">
        <v>1011</v>
      </c>
      <c r="D55" s="57"/>
      <c r="E55" s="57">
        <v>104</v>
      </c>
      <c r="F55" s="57">
        <v>130</v>
      </c>
      <c r="G55" s="57"/>
      <c r="H55" s="57"/>
      <c r="I55" s="57"/>
      <c r="J55" s="130"/>
      <c r="K55" s="57"/>
      <c r="L55" s="58"/>
      <c r="M55" s="131"/>
      <c r="N55" s="114"/>
      <c r="O55" s="116"/>
      <c r="P55" s="132"/>
    </row>
    <row r="56" spans="1:16" s="48" customFormat="1" ht="12.75">
      <c r="A56" s="60" t="s">
        <v>33</v>
      </c>
      <c r="B56" s="61">
        <f>IF(A56="","",VLOOKUP(A56,$A$12:$B$50,2,FALSE))</f>
        <v>84</v>
      </c>
      <c r="C56" s="61">
        <v>245611</v>
      </c>
      <c r="D56" s="61"/>
      <c r="E56" s="61">
        <v>23610</v>
      </c>
      <c r="F56" s="61">
        <v>8775</v>
      </c>
      <c r="G56" s="61"/>
      <c r="H56" s="61"/>
      <c r="I56" s="61"/>
      <c r="J56" s="133"/>
      <c r="K56" s="61"/>
      <c r="L56" s="62"/>
      <c r="M56" s="131"/>
      <c r="N56" s="114"/>
      <c r="O56" s="116"/>
      <c r="P56" s="132"/>
    </row>
    <row r="57" spans="1:16" s="48" customFormat="1" ht="12.75">
      <c r="A57" s="60" t="s">
        <v>62</v>
      </c>
      <c r="B57" s="61">
        <f>IF(A57="","",VLOOKUP(A57,$A$12:$B$50,2,FALSE))</f>
        <v>119</v>
      </c>
      <c r="C57" s="61">
        <v>46337</v>
      </c>
      <c r="D57" s="61"/>
      <c r="E57" s="61">
        <v>4794</v>
      </c>
      <c r="F57" s="61">
        <v>130</v>
      </c>
      <c r="G57" s="61"/>
      <c r="H57" s="61"/>
      <c r="I57" s="61"/>
      <c r="J57" s="133"/>
      <c r="K57" s="61"/>
      <c r="L57" s="62"/>
      <c r="M57" s="131"/>
      <c r="N57" s="114"/>
      <c r="O57" s="116"/>
      <c r="P57" s="132"/>
    </row>
    <row r="58" spans="1:16" ht="12.75">
      <c r="A58" s="60" t="s">
        <v>63</v>
      </c>
      <c r="B58" s="61">
        <f>IF(A58="","",VLOOKUP(A58,$A$12:$B$50,2,FALSE))</f>
        <v>120</v>
      </c>
      <c r="C58" s="61">
        <v>534353</v>
      </c>
      <c r="D58" s="61"/>
      <c r="E58" s="61">
        <v>55277</v>
      </c>
      <c r="F58" s="61">
        <v>4030</v>
      </c>
      <c r="G58" s="61"/>
      <c r="H58" s="61"/>
      <c r="I58" s="61"/>
      <c r="J58" s="61"/>
      <c r="K58" s="61"/>
      <c r="L58" s="62"/>
      <c r="M58" s="131"/>
      <c r="N58" s="114"/>
      <c r="O58" s="134"/>
      <c r="P58" s="45"/>
    </row>
    <row r="60" spans="1:6" ht="12.75">
      <c r="A60" s="63" t="s">
        <v>21</v>
      </c>
      <c r="B60" s="175" t="s">
        <v>216</v>
      </c>
      <c r="C60" s="175"/>
      <c r="D60" s="175"/>
      <c r="E60" s="175"/>
      <c r="F60" s="64"/>
    </row>
    <row r="61" spans="8:9" ht="12.75">
      <c r="H61" s="174" t="s">
        <v>211</v>
      </c>
      <c r="I61" s="174"/>
    </row>
    <row r="62" spans="8:9" ht="12.75">
      <c r="H62" s="173" t="s">
        <v>48</v>
      </c>
      <c r="I62" s="173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69"/>
      <c r="L2" s="170"/>
    </row>
    <row r="3" spans="1:12" ht="12.75">
      <c r="A3" s="3"/>
      <c r="H3" s="4"/>
      <c r="I3" s="4"/>
      <c r="J3" s="5" t="s">
        <v>77</v>
      </c>
      <c r="K3" s="169"/>
      <c r="L3" s="170"/>
    </row>
    <row r="4" ht="18" customHeight="1">
      <c r="A4" s="6"/>
    </row>
    <row r="5" spans="1:13" ht="18">
      <c r="A5" s="172" t="s">
        <v>82</v>
      </c>
      <c r="B5" s="172"/>
      <c r="C5" s="172"/>
      <c r="D5" s="172"/>
      <c r="E5" s="7" t="s">
        <v>83</v>
      </c>
      <c r="F5" s="171" t="s">
        <v>94</v>
      </c>
      <c r="G5" s="171"/>
      <c r="H5" s="171"/>
      <c r="I5" s="171"/>
      <c r="J5" s="171"/>
      <c r="K5" s="171"/>
      <c r="L5" s="171"/>
      <c r="M5" s="17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5" t="s">
        <v>121</v>
      </c>
      <c r="N7" s="196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9" t="s">
        <v>122</v>
      </c>
      <c r="N9" s="190"/>
    </row>
    <row r="10" spans="1:14" ht="13.5" thickBot="1">
      <c r="A10" s="25"/>
      <c r="B10" s="26"/>
      <c r="C10" s="176" t="s">
        <v>101</v>
      </c>
      <c r="D10" s="177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32"/>
      <c r="N10" s="33"/>
    </row>
    <row r="11" spans="1:14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9"/>
    </row>
    <row r="12" spans="1:14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3"/>
      <c r="K12" s="44">
        <f>SUM(C12:J12)</f>
        <v>0</v>
      </c>
      <c r="L12" s="43"/>
      <c r="M12" s="43"/>
      <c r="N12" s="43"/>
    </row>
    <row r="13" spans="1:14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3"/>
      <c r="K13" s="44">
        <f aca="true" t="shared" si="0" ref="K13:K50">SUM(C13:J13)</f>
        <v>0</v>
      </c>
      <c r="L13" s="43"/>
      <c r="M13" s="43"/>
      <c r="N13" s="43"/>
    </row>
    <row r="14" spans="1:14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3"/>
      <c r="K14" s="44">
        <f t="shared" si="0"/>
        <v>0</v>
      </c>
      <c r="L14" s="43"/>
      <c r="M14" s="43"/>
      <c r="N14" s="43"/>
    </row>
    <row r="15" spans="1:14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3"/>
      <c r="K15" s="44">
        <f t="shared" si="0"/>
        <v>0</v>
      </c>
      <c r="L15" s="43"/>
      <c r="M15" s="43"/>
      <c r="N15" s="43"/>
    </row>
    <row r="16" spans="1:14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3"/>
      <c r="K16" s="44">
        <f t="shared" si="0"/>
        <v>0</v>
      </c>
      <c r="L16" s="43"/>
      <c r="M16" s="43"/>
      <c r="N16" s="43"/>
    </row>
    <row r="17" spans="1:14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3"/>
      <c r="K17" s="44">
        <f t="shared" si="0"/>
        <v>0</v>
      </c>
      <c r="L17" s="43"/>
      <c r="M17" s="43"/>
      <c r="N17" s="43"/>
    </row>
    <row r="18" spans="1:14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3"/>
      <c r="K18" s="44">
        <f t="shared" si="0"/>
        <v>0</v>
      </c>
      <c r="L18" s="43"/>
      <c r="M18" s="43"/>
      <c r="N18" s="43"/>
    </row>
    <row r="19" spans="1:14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3"/>
      <c r="K19" s="44">
        <f t="shared" si="0"/>
        <v>0</v>
      </c>
      <c r="L19" s="43"/>
      <c r="M19" s="43"/>
      <c r="N19" s="43"/>
    </row>
    <row r="20" spans="1:14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3"/>
      <c r="K20" s="44">
        <f t="shared" si="0"/>
        <v>0</v>
      </c>
      <c r="L20" s="43"/>
      <c r="M20" s="43"/>
      <c r="N20" s="43"/>
    </row>
    <row r="21" spans="1:14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3"/>
      <c r="K21" s="44">
        <f t="shared" si="0"/>
        <v>0</v>
      </c>
      <c r="L21" s="43"/>
      <c r="M21" s="43"/>
      <c r="N21" s="43"/>
    </row>
    <row r="22" spans="1:21" s="45" customFormat="1" ht="12.75" customHeight="1">
      <c r="A22" s="41" t="s">
        <v>38</v>
      </c>
      <c r="B22" s="42">
        <v>81</v>
      </c>
      <c r="C22" s="43"/>
      <c r="D22" s="43"/>
      <c r="E22" s="43"/>
      <c r="F22" s="43"/>
      <c r="G22" s="43"/>
      <c r="H22" s="43"/>
      <c r="I22" s="43"/>
      <c r="J22" s="43"/>
      <c r="K22" s="44">
        <f t="shared" si="0"/>
        <v>0</v>
      </c>
      <c r="L22" s="43"/>
      <c r="M22" s="43"/>
      <c r="N22" s="43"/>
      <c r="O22" s="2"/>
      <c r="P22" s="2"/>
      <c r="Q22" s="2"/>
      <c r="R22" s="2"/>
      <c r="S22" s="2"/>
      <c r="T22" s="2"/>
      <c r="U22" s="2"/>
    </row>
    <row r="23" spans="1:14" ht="12.75">
      <c r="A23" s="41" t="s">
        <v>39</v>
      </c>
      <c r="B23" s="42">
        <v>82</v>
      </c>
      <c r="C23" s="43"/>
      <c r="D23" s="43"/>
      <c r="E23" s="43"/>
      <c r="F23" s="43"/>
      <c r="G23" s="43"/>
      <c r="H23" s="43"/>
      <c r="I23" s="43"/>
      <c r="J23" s="43"/>
      <c r="K23" s="44">
        <f t="shared" si="0"/>
        <v>0</v>
      </c>
      <c r="L23" s="43"/>
      <c r="M23" s="43"/>
      <c r="N23" s="43"/>
    </row>
    <row r="24" spans="1:14" ht="12.75">
      <c r="A24" s="41" t="s">
        <v>32</v>
      </c>
      <c r="B24" s="42">
        <v>83</v>
      </c>
      <c r="C24" s="43"/>
      <c r="D24" s="43"/>
      <c r="E24" s="43"/>
      <c r="F24" s="43"/>
      <c r="G24" s="43"/>
      <c r="H24" s="43"/>
      <c r="I24" s="43"/>
      <c r="J24" s="43"/>
      <c r="K24" s="44">
        <f t="shared" si="0"/>
        <v>0</v>
      </c>
      <c r="L24" s="43"/>
      <c r="M24" s="43"/>
      <c r="N24" s="43"/>
    </row>
    <row r="25" spans="1:14" ht="12.75">
      <c r="A25" s="41" t="s">
        <v>33</v>
      </c>
      <c r="B25" s="42">
        <v>84</v>
      </c>
      <c r="C25" s="43"/>
      <c r="D25" s="43"/>
      <c r="E25" s="43"/>
      <c r="F25" s="43"/>
      <c r="G25" s="43"/>
      <c r="H25" s="43"/>
      <c r="I25" s="43"/>
      <c r="J25" s="43"/>
      <c r="K25" s="44">
        <f t="shared" si="0"/>
        <v>0</v>
      </c>
      <c r="L25" s="43"/>
      <c r="M25" s="43"/>
      <c r="N25" s="43"/>
    </row>
    <row r="26" spans="1:14" ht="12.75">
      <c r="A26" s="41" t="s">
        <v>34</v>
      </c>
      <c r="B26" s="42">
        <v>85</v>
      </c>
      <c r="C26" s="43"/>
      <c r="D26" s="43"/>
      <c r="E26" s="43"/>
      <c r="F26" s="43"/>
      <c r="G26" s="43"/>
      <c r="H26" s="43"/>
      <c r="I26" s="43"/>
      <c r="J26" s="43"/>
      <c r="K26" s="44">
        <f t="shared" si="0"/>
        <v>0</v>
      </c>
      <c r="L26" s="43"/>
      <c r="M26" s="43"/>
      <c r="N26" s="43"/>
    </row>
    <row r="27" spans="1:14" ht="12.75">
      <c r="A27" s="41" t="s">
        <v>35</v>
      </c>
      <c r="B27" s="42">
        <v>86</v>
      </c>
      <c r="C27" s="43"/>
      <c r="D27" s="43"/>
      <c r="E27" s="43"/>
      <c r="F27" s="43"/>
      <c r="G27" s="43"/>
      <c r="H27" s="43"/>
      <c r="I27" s="43"/>
      <c r="J27" s="43"/>
      <c r="K27" s="44">
        <f t="shared" si="0"/>
        <v>0</v>
      </c>
      <c r="L27" s="43"/>
      <c r="M27" s="43"/>
      <c r="N27" s="43"/>
    </row>
    <row r="28" spans="1:14" ht="12.75">
      <c r="A28" s="41" t="s">
        <v>36</v>
      </c>
      <c r="B28" s="42">
        <v>87</v>
      </c>
      <c r="C28" s="43"/>
      <c r="D28" s="43"/>
      <c r="E28" s="43"/>
      <c r="F28" s="43"/>
      <c r="G28" s="43"/>
      <c r="H28" s="43"/>
      <c r="I28" s="43"/>
      <c r="J28" s="43"/>
      <c r="K28" s="44">
        <f t="shared" si="0"/>
        <v>0</v>
      </c>
      <c r="L28" s="43"/>
      <c r="M28" s="43"/>
      <c r="N28" s="43"/>
    </row>
    <row r="29" spans="1:14" ht="12.75">
      <c r="A29" s="41" t="s">
        <v>37</v>
      </c>
      <c r="B29" s="42">
        <v>88</v>
      </c>
      <c r="C29" s="43"/>
      <c r="D29" s="43"/>
      <c r="E29" s="43"/>
      <c r="F29" s="43"/>
      <c r="G29" s="43"/>
      <c r="H29" s="43"/>
      <c r="I29" s="43"/>
      <c r="J29" s="43"/>
      <c r="K29" s="44">
        <f t="shared" si="0"/>
        <v>0</v>
      </c>
      <c r="L29" s="43"/>
      <c r="M29" s="43"/>
      <c r="N29" s="43"/>
    </row>
    <row r="30" spans="1:14" ht="12.75">
      <c r="A30" s="41" t="s">
        <v>40</v>
      </c>
      <c r="B30" s="42">
        <v>89</v>
      </c>
      <c r="C30" s="43"/>
      <c r="D30" s="43"/>
      <c r="E30" s="43"/>
      <c r="F30" s="43"/>
      <c r="G30" s="43"/>
      <c r="H30" s="43"/>
      <c r="I30" s="43"/>
      <c r="J30" s="43"/>
      <c r="K30" s="44">
        <f t="shared" si="0"/>
        <v>0</v>
      </c>
      <c r="L30" s="43"/>
      <c r="M30" s="43"/>
      <c r="N30" s="43"/>
    </row>
    <row r="31" spans="1:14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3"/>
      <c r="K31" s="44">
        <f t="shared" si="0"/>
        <v>0</v>
      </c>
      <c r="L31" s="43"/>
      <c r="M31" s="43"/>
      <c r="N31" s="43"/>
    </row>
    <row r="32" spans="1:14" s="48" customFormat="1" ht="12.75">
      <c r="A32" s="46" t="s">
        <v>73</v>
      </c>
      <c r="B32" s="42">
        <v>92</v>
      </c>
      <c r="C32" s="47">
        <f>SUM(C12:C31)</f>
        <v>0</v>
      </c>
      <c r="D32" s="47">
        <f aca="true" t="shared" si="1" ref="D32:J32">SUM(D12:D31)</f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7">
        <f t="shared" si="1"/>
        <v>0</v>
      </c>
      <c r="K32" s="44">
        <f t="shared" si="0"/>
        <v>0</v>
      </c>
      <c r="L32" s="47">
        <f>SUM(L12:L31)</f>
        <v>0</v>
      </c>
      <c r="M32" s="47">
        <f>SUM(M12:M31)</f>
        <v>0</v>
      </c>
      <c r="N32" s="47">
        <f>SUM(N12:N31)</f>
        <v>0</v>
      </c>
    </row>
    <row r="33" spans="1:14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3"/>
      <c r="K33" s="44">
        <f t="shared" si="0"/>
        <v>0</v>
      </c>
      <c r="L33" s="43"/>
      <c r="M33" s="43"/>
      <c r="N33" s="43"/>
    </row>
    <row r="34" spans="1:14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3"/>
      <c r="K34" s="44">
        <f t="shared" si="0"/>
        <v>0</v>
      </c>
      <c r="L34" s="43"/>
      <c r="M34" s="43"/>
      <c r="N34" s="43"/>
    </row>
    <row r="35" spans="1:14" s="48" customFormat="1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3"/>
      <c r="K35" s="44">
        <f t="shared" si="0"/>
        <v>0</v>
      </c>
      <c r="L35" s="43"/>
      <c r="M35" s="43"/>
      <c r="N35" s="43"/>
    </row>
    <row r="36" spans="1:14" s="48" customFormat="1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3"/>
      <c r="K36" s="44">
        <f t="shared" si="0"/>
        <v>0</v>
      </c>
      <c r="L36" s="43"/>
      <c r="M36" s="43"/>
      <c r="N36" s="43"/>
    </row>
    <row r="37" spans="1:14" s="48" customFormat="1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3"/>
      <c r="K37" s="44">
        <f t="shared" si="0"/>
        <v>0</v>
      </c>
      <c r="L37" s="43"/>
      <c r="M37" s="43"/>
      <c r="N37" s="43"/>
    </row>
    <row r="38" spans="1:14" s="112" customFormat="1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3"/>
      <c r="K38" s="44">
        <f t="shared" si="0"/>
        <v>0</v>
      </c>
      <c r="L38" s="43"/>
      <c r="M38" s="43"/>
      <c r="N38" s="43"/>
    </row>
    <row r="39" spans="1:14" ht="12.75">
      <c r="A39" s="46" t="s">
        <v>72</v>
      </c>
      <c r="B39" s="42">
        <v>110</v>
      </c>
      <c r="C39" s="47">
        <f>SUM(C33:C38)</f>
        <v>0</v>
      </c>
      <c r="D39" s="47">
        <f aca="true" t="shared" si="2" ref="D39:J39"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44">
        <f t="shared" si="0"/>
        <v>0</v>
      </c>
      <c r="L39" s="47">
        <f>SUM(L33:L38)</f>
        <v>0</v>
      </c>
      <c r="M39" s="47">
        <f>SUM(M33:M38)</f>
        <v>0</v>
      </c>
      <c r="N39" s="47">
        <f>SUM(N33:N38)</f>
        <v>0</v>
      </c>
    </row>
    <row r="40" spans="1:14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3"/>
      <c r="K40" s="44">
        <f t="shared" si="0"/>
        <v>0</v>
      </c>
      <c r="L40" s="43"/>
      <c r="M40" s="43"/>
      <c r="N40" s="43"/>
    </row>
    <row r="41" spans="1:14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3"/>
      <c r="K41" s="44">
        <f t="shared" si="0"/>
        <v>0</v>
      </c>
      <c r="L41" s="43"/>
      <c r="M41" s="43"/>
      <c r="N41" s="43"/>
    </row>
    <row r="42" spans="1:14" ht="12.75">
      <c r="A42" s="50" t="s">
        <v>59</v>
      </c>
      <c r="B42" s="42">
        <v>113</v>
      </c>
      <c r="C42" s="43"/>
      <c r="D42" s="43"/>
      <c r="E42" s="43"/>
      <c r="F42" s="43"/>
      <c r="G42" s="43"/>
      <c r="H42" s="43"/>
      <c r="I42" s="43"/>
      <c r="J42" s="43"/>
      <c r="K42" s="44">
        <f t="shared" si="0"/>
        <v>0</v>
      </c>
      <c r="L42" s="43"/>
      <c r="M42" s="43"/>
      <c r="N42" s="43"/>
    </row>
    <row r="43" spans="1:14" ht="12.75">
      <c r="A43" s="50" t="s">
        <v>60</v>
      </c>
      <c r="B43" s="42">
        <v>114</v>
      </c>
      <c r="C43" s="43"/>
      <c r="D43" s="43"/>
      <c r="E43" s="43"/>
      <c r="F43" s="43"/>
      <c r="G43" s="43"/>
      <c r="H43" s="43"/>
      <c r="I43" s="43"/>
      <c r="J43" s="43"/>
      <c r="K43" s="44">
        <f t="shared" si="0"/>
        <v>0</v>
      </c>
      <c r="L43" s="43"/>
      <c r="M43" s="43"/>
      <c r="N43" s="43"/>
    </row>
    <row r="44" spans="1:14" ht="12.75">
      <c r="A44" s="50" t="s">
        <v>61</v>
      </c>
      <c r="B44" s="42">
        <v>115</v>
      </c>
      <c r="C44" s="43"/>
      <c r="D44" s="43"/>
      <c r="E44" s="43"/>
      <c r="F44" s="43"/>
      <c r="G44" s="43"/>
      <c r="H44" s="43"/>
      <c r="I44" s="43"/>
      <c r="J44" s="43"/>
      <c r="K44" s="44">
        <f t="shared" si="0"/>
        <v>0</v>
      </c>
      <c r="L44" s="43"/>
      <c r="M44" s="43"/>
      <c r="N44" s="43"/>
    </row>
    <row r="45" spans="1:14" ht="12.75">
      <c r="A45" s="50" t="s">
        <v>62</v>
      </c>
      <c r="B45" s="42">
        <v>119</v>
      </c>
      <c r="C45" s="43"/>
      <c r="D45" s="43"/>
      <c r="E45" s="43"/>
      <c r="F45" s="43"/>
      <c r="G45" s="43"/>
      <c r="H45" s="43"/>
      <c r="I45" s="43"/>
      <c r="J45" s="43"/>
      <c r="K45" s="44">
        <f t="shared" si="0"/>
        <v>0</v>
      </c>
      <c r="L45" s="43"/>
      <c r="M45" s="43"/>
      <c r="N45" s="43"/>
    </row>
    <row r="46" spans="1:14" ht="12.75">
      <c r="A46" s="50" t="s">
        <v>63</v>
      </c>
      <c r="B46" s="42">
        <v>120</v>
      </c>
      <c r="C46" s="43"/>
      <c r="D46" s="43"/>
      <c r="E46" s="43"/>
      <c r="F46" s="43"/>
      <c r="G46" s="43"/>
      <c r="H46" s="43"/>
      <c r="I46" s="43"/>
      <c r="J46" s="43"/>
      <c r="K46" s="44">
        <f t="shared" si="0"/>
        <v>0</v>
      </c>
      <c r="L46" s="43"/>
      <c r="M46" s="43"/>
      <c r="N46" s="43"/>
    </row>
    <row r="47" spans="1:14" ht="12.75">
      <c r="A47" s="46" t="s">
        <v>74</v>
      </c>
      <c r="B47" s="47">
        <v>121</v>
      </c>
      <c r="C47" s="47">
        <f>SUM(C40:C46)</f>
        <v>0</v>
      </c>
      <c r="D47" s="47">
        <f aca="true" t="shared" si="3" ref="D47:J47">SUM(D40:D46)</f>
        <v>0</v>
      </c>
      <c r="E47" s="47">
        <f t="shared" si="3"/>
        <v>0</v>
      </c>
      <c r="F47" s="47">
        <f t="shared" si="3"/>
        <v>0</v>
      </c>
      <c r="G47" s="47">
        <f t="shared" si="3"/>
        <v>0</v>
      </c>
      <c r="H47" s="47">
        <f t="shared" si="3"/>
        <v>0</v>
      </c>
      <c r="I47" s="47">
        <f t="shared" si="3"/>
        <v>0</v>
      </c>
      <c r="J47" s="47">
        <f t="shared" si="3"/>
        <v>0</v>
      </c>
      <c r="K47" s="44">
        <f t="shared" si="0"/>
        <v>0</v>
      </c>
      <c r="L47" s="47">
        <f>SUM(L40:L46)</f>
        <v>0</v>
      </c>
      <c r="M47" s="47">
        <f>SUM(M40:M46)</f>
        <v>0</v>
      </c>
      <c r="N47" s="47">
        <f>SUM(N40:N46)</f>
        <v>0</v>
      </c>
    </row>
    <row r="48" spans="1:14" ht="12.75">
      <c r="A48" s="46" t="s">
        <v>119</v>
      </c>
      <c r="B48" s="47">
        <v>152</v>
      </c>
      <c r="C48" s="47">
        <f>C32+C39+C47</f>
        <v>0</v>
      </c>
      <c r="D48" s="47">
        <f aca="true" t="shared" si="4" ref="D48:J48">D32+D39+D47</f>
        <v>0</v>
      </c>
      <c r="E48" s="47">
        <f t="shared" si="4"/>
        <v>0</v>
      </c>
      <c r="F48" s="47">
        <f t="shared" si="4"/>
        <v>0</v>
      </c>
      <c r="G48" s="47">
        <f t="shared" si="4"/>
        <v>0</v>
      </c>
      <c r="H48" s="47">
        <f t="shared" si="4"/>
        <v>0</v>
      </c>
      <c r="I48" s="47">
        <f t="shared" si="4"/>
        <v>0</v>
      </c>
      <c r="J48" s="47">
        <f t="shared" si="4"/>
        <v>0</v>
      </c>
      <c r="K48" s="44">
        <f t="shared" si="0"/>
        <v>0</v>
      </c>
      <c r="L48" s="47">
        <f>L32+L39+L47</f>
        <v>0</v>
      </c>
      <c r="M48" s="47">
        <f>M32+M39+M47</f>
        <v>0</v>
      </c>
      <c r="N48" s="47">
        <f>N32+N39+N47</f>
        <v>0</v>
      </c>
    </row>
    <row r="49" spans="1:14" ht="12.75">
      <c r="A49" s="46" t="s">
        <v>51</v>
      </c>
      <c r="B49" s="47">
        <v>158</v>
      </c>
      <c r="C49" s="51"/>
      <c r="D49" s="51"/>
      <c r="E49" s="51"/>
      <c r="F49" s="51"/>
      <c r="G49" s="51"/>
      <c r="H49" s="51"/>
      <c r="I49" s="51"/>
      <c r="J49" s="51"/>
      <c r="K49" s="44">
        <f t="shared" si="0"/>
        <v>0</v>
      </c>
      <c r="L49" s="51"/>
      <c r="M49" s="51"/>
      <c r="N49" s="51"/>
    </row>
    <row r="50" spans="1:14" ht="12.75">
      <c r="A50" s="46" t="s">
        <v>75</v>
      </c>
      <c r="B50" s="47">
        <v>159</v>
      </c>
      <c r="C50" s="47">
        <f>C48+C49</f>
        <v>0</v>
      </c>
      <c r="D50" s="47">
        <f aca="true" t="shared" si="5" ref="D50:J50">D48+D49</f>
        <v>0</v>
      </c>
      <c r="E50" s="47">
        <f t="shared" si="5"/>
        <v>0</v>
      </c>
      <c r="F50" s="47">
        <f t="shared" si="5"/>
        <v>0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7">
        <f t="shared" si="5"/>
        <v>0</v>
      </c>
      <c r="K50" s="44">
        <f t="shared" si="0"/>
        <v>0</v>
      </c>
      <c r="L50" s="47">
        <f>L48+L49</f>
        <v>0</v>
      </c>
      <c r="M50" s="47">
        <f>M48+M49</f>
        <v>0</v>
      </c>
      <c r="N50" s="47">
        <f>N48+N49</f>
        <v>0</v>
      </c>
    </row>
    <row r="51" spans="1:14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5"/>
      <c r="L51" s="114"/>
      <c r="M51" s="114"/>
      <c r="N51" s="116"/>
    </row>
    <row r="52" spans="1:14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7"/>
      <c r="N52" s="116"/>
    </row>
    <row r="53" spans="1:14" ht="12.75">
      <c r="A53" s="178" t="s">
        <v>3</v>
      </c>
      <c r="B53" s="136" t="s">
        <v>49</v>
      </c>
      <c r="C53" s="137" t="s">
        <v>4</v>
      </c>
      <c r="D53" s="137" t="s">
        <v>5</v>
      </c>
      <c r="E53" s="137" t="s">
        <v>6</v>
      </c>
      <c r="F53" s="137" t="s">
        <v>80</v>
      </c>
      <c r="G53" s="137" t="s">
        <v>81</v>
      </c>
      <c r="H53" s="137" t="s">
        <v>7</v>
      </c>
      <c r="I53" s="137" t="s">
        <v>42</v>
      </c>
      <c r="J53" s="137" t="s">
        <v>78</v>
      </c>
      <c r="K53" s="138" t="s">
        <v>155</v>
      </c>
      <c r="L53" s="137" t="s">
        <v>157</v>
      </c>
      <c r="M53" s="137" t="s">
        <v>159</v>
      </c>
      <c r="N53" s="116"/>
    </row>
    <row r="54" spans="1:14" ht="12.75">
      <c r="A54" s="179"/>
      <c r="B54" s="54" t="s">
        <v>50</v>
      </c>
      <c r="C54" s="55" t="s">
        <v>9</v>
      </c>
      <c r="D54" s="55" t="s">
        <v>10</v>
      </c>
      <c r="E54" s="55" t="s">
        <v>11</v>
      </c>
      <c r="F54" s="55" t="s">
        <v>10</v>
      </c>
      <c r="G54" s="55" t="s">
        <v>12</v>
      </c>
      <c r="H54" s="55" t="s">
        <v>13</v>
      </c>
      <c r="I54" s="55" t="s">
        <v>43</v>
      </c>
      <c r="J54" s="55" t="s">
        <v>79</v>
      </c>
      <c r="K54" s="117" t="s">
        <v>156</v>
      </c>
      <c r="L54" s="55" t="s">
        <v>158</v>
      </c>
      <c r="M54" s="55" t="s">
        <v>54</v>
      </c>
      <c r="N54" s="116"/>
    </row>
    <row r="55" spans="1:15" ht="12.75">
      <c r="A55" s="56"/>
      <c r="B55" s="57">
        <f>IF(A55="","",VLOOKUP(A55,$A$12:$B$50,2,FALSE))</f>
      </c>
      <c r="C55" s="57"/>
      <c r="D55" s="57"/>
      <c r="E55" s="57"/>
      <c r="F55" s="57"/>
      <c r="G55" s="57"/>
      <c r="H55" s="57"/>
      <c r="I55" s="57"/>
      <c r="J55" s="57"/>
      <c r="K55" s="118"/>
      <c r="L55" s="57"/>
      <c r="M55" s="58"/>
      <c r="N55" s="119"/>
      <c r="O55" s="45"/>
    </row>
    <row r="56" spans="1:15" ht="12.75">
      <c r="A56" s="60"/>
      <c r="B56" s="61">
        <f>IF(A56="","",VLOOKUP(A56,$A$12:$B$50,2,FALSE))</f>
      </c>
      <c r="C56" s="61"/>
      <c r="D56" s="61"/>
      <c r="E56" s="61"/>
      <c r="F56" s="61"/>
      <c r="G56" s="61"/>
      <c r="H56" s="61"/>
      <c r="I56" s="61"/>
      <c r="J56" s="61"/>
      <c r="K56" s="120"/>
      <c r="L56" s="61"/>
      <c r="M56" s="62"/>
      <c r="N56" s="119"/>
      <c r="O56" s="45"/>
    </row>
    <row r="57" spans="1:15" ht="12.75">
      <c r="A57" s="60"/>
      <c r="B57" s="61">
        <f>IF(A57="","",VLOOKUP(A57,$A$12:$B$50,2,FALSE))</f>
      </c>
      <c r="C57" s="61"/>
      <c r="D57" s="61"/>
      <c r="E57" s="61"/>
      <c r="F57" s="61"/>
      <c r="G57" s="61"/>
      <c r="H57" s="61"/>
      <c r="I57" s="61"/>
      <c r="J57" s="61"/>
      <c r="K57" s="120"/>
      <c r="L57" s="61"/>
      <c r="M57" s="62"/>
      <c r="N57" s="119"/>
      <c r="O57" s="45"/>
    </row>
    <row r="58" spans="1:15" ht="12.75">
      <c r="A58" s="60"/>
      <c r="B58" s="61">
        <f>IF(A58="","",VLOOKUP(A58,$A$12:$B$50,2,FALSE))</f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2"/>
      <c r="N58" s="59"/>
      <c r="O58" s="45"/>
    </row>
    <row r="60" spans="1:5" ht="12.75">
      <c r="A60" s="63" t="s">
        <v>21</v>
      </c>
      <c r="B60" s="175"/>
      <c r="C60" s="175"/>
      <c r="D60" s="175"/>
      <c r="E60" s="64"/>
    </row>
    <row r="61" spans="10:11" ht="12.75">
      <c r="J61" s="174"/>
      <c r="K61" s="174"/>
    </row>
    <row r="62" spans="10:11" ht="12.75">
      <c r="J62" s="173" t="s">
        <v>48</v>
      </c>
      <c r="K62" s="173"/>
    </row>
  </sheetData>
  <sheetProtection/>
  <mergeCells count="14">
    <mergeCell ref="A53:A54"/>
    <mergeCell ref="A52:M52"/>
    <mergeCell ref="K3:L3"/>
    <mergeCell ref="K2:L2"/>
    <mergeCell ref="B60:D60"/>
    <mergeCell ref="J61:K61"/>
    <mergeCell ref="J62:K62"/>
    <mergeCell ref="F5:M5"/>
    <mergeCell ref="A5:D5"/>
    <mergeCell ref="C10:D10"/>
    <mergeCell ref="M9:N9"/>
    <mergeCell ref="M7:M8"/>
    <mergeCell ref="N7:N8"/>
    <mergeCell ref="C7:D7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9" ht="12.75">
      <c r="A2" s="3" t="s">
        <v>71</v>
      </c>
      <c r="G2" s="5" t="s">
        <v>0</v>
      </c>
      <c r="H2" s="169"/>
      <c r="I2" s="170"/>
    </row>
    <row r="3" spans="1:9" ht="12.75">
      <c r="A3" s="3"/>
      <c r="G3" s="5" t="s">
        <v>77</v>
      </c>
      <c r="H3" s="169"/>
      <c r="I3" s="170"/>
    </row>
    <row r="4" ht="18" customHeight="1">
      <c r="A4" s="6"/>
    </row>
    <row r="5" spans="1:10" ht="18">
      <c r="A5" s="172" t="s">
        <v>85</v>
      </c>
      <c r="B5" s="172"/>
      <c r="C5" s="172"/>
      <c r="D5" s="172"/>
      <c r="E5" s="172"/>
      <c r="F5" s="7" t="s">
        <v>83</v>
      </c>
      <c r="G5" s="171" t="s">
        <v>171</v>
      </c>
      <c r="H5" s="171"/>
      <c r="I5" s="171"/>
      <c r="J5" s="17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21" t="s">
        <v>115</v>
      </c>
      <c r="E7" s="121"/>
      <c r="F7" s="16" t="s">
        <v>107</v>
      </c>
      <c r="G7" s="16" t="s">
        <v>110</v>
      </c>
      <c r="H7" s="16" t="s">
        <v>112</v>
      </c>
      <c r="I7" s="16" t="s">
        <v>112</v>
      </c>
      <c r="J7" s="122" t="s">
        <v>112</v>
      </c>
    </row>
    <row r="8" spans="1:10" ht="12.75">
      <c r="A8" s="123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4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4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7" t="s">
        <v>181</v>
      </c>
      <c r="G10" s="27" t="s">
        <v>183</v>
      </c>
      <c r="H10" s="27" t="s">
        <v>187</v>
      </c>
      <c r="I10" s="27" t="s">
        <v>184</v>
      </c>
      <c r="J10" s="146" t="s">
        <v>182</v>
      </c>
    </row>
    <row r="11" spans="1:10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125"/>
    </row>
    <row r="12" spans="1:15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4">
        <f>SUM(C12:I12)</f>
        <v>0</v>
      </c>
      <c r="K12" s="64"/>
      <c r="L12" s="64"/>
      <c r="M12" s="64"/>
      <c r="N12" s="64"/>
      <c r="O12" s="64"/>
    </row>
    <row r="13" spans="1:15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4">
        <f aca="true" t="shared" si="0" ref="J13:J50">SUM(C13:I13)</f>
        <v>0</v>
      </c>
      <c r="K13" s="64"/>
      <c r="L13" s="64"/>
      <c r="M13" s="64"/>
      <c r="N13" s="64"/>
      <c r="O13" s="64"/>
    </row>
    <row r="14" spans="1:15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4">
        <f t="shared" si="0"/>
        <v>0</v>
      </c>
      <c r="K14" s="64"/>
      <c r="L14" s="64"/>
      <c r="M14" s="64"/>
      <c r="N14" s="64"/>
      <c r="O14" s="64"/>
    </row>
    <row r="15" spans="1:15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4">
        <f t="shared" si="0"/>
        <v>0</v>
      </c>
      <c r="K15" s="64"/>
      <c r="L15" s="64"/>
      <c r="M15" s="64"/>
      <c r="N15" s="64"/>
      <c r="O15" s="64"/>
    </row>
    <row r="16" spans="1:15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4">
        <f t="shared" si="0"/>
        <v>0</v>
      </c>
      <c r="K16" s="64"/>
      <c r="L16" s="64"/>
      <c r="M16" s="64"/>
      <c r="N16" s="64"/>
      <c r="O16" s="64"/>
    </row>
    <row r="17" spans="1:15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4">
        <f t="shared" si="0"/>
        <v>0</v>
      </c>
      <c r="K17" s="64"/>
      <c r="L17" s="64"/>
      <c r="M17" s="64"/>
      <c r="N17" s="64"/>
      <c r="O17" s="64"/>
    </row>
    <row r="18" spans="1:15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4">
        <f t="shared" si="0"/>
        <v>0</v>
      </c>
      <c r="K18" s="64"/>
      <c r="L18" s="64"/>
      <c r="M18" s="64"/>
      <c r="N18" s="64"/>
      <c r="O18" s="64"/>
    </row>
    <row r="19" spans="1:15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4">
        <f t="shared" si="0"/>
        <v>0</v>
      </c>
      <c r="K19" s="64"/>
      <c r="L19" s="64"/>
      <c r="M19" s="64"/>
      <c r="N19" s="64"/>
      <c r="O19" s="64"/>
    </row>
    <row r="20" spans="1:15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4">
        <f t="shared" si="0"/>
        <v>0</v>
      </c>
      <c r="K20" s="64"/>
      <c r="L20" s="64"/>
      <c r="M20" s="64"/>
      <c r="N20" s="64"/>
      <c r="O20" s="64"/>
    </row>
    <row r="21" spans="1:15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4">
        <f t="shared" si="0"/>
        <v>0</v>
      </c>
      <c r="K21" s="64"/>
      <c r="L21" s="64"/>
      <c r="M21" s="64"/>
      <c r="N21" s="64"/>
      <c r="O21" s="64"/>
    </row>
    <row r="22" spans="1:18" s="45" customFormat="1" ht="12.75" customHeight="1">
      <c r="A22" s="41" t="s">
        <v>38</v>
      </c>
      <c r="B22" s="42">
        <v>81</v>
      </c>
      <c r="C22" s="43"/>
      <c r="D22" s="43"/>
      <c r="E22" s="43"/>
      <c r="F22" s="43"/>
      <c r="G22" s="43"/>
      <c r="H22" s="43"/>
      <c r="I22" s="43"/>
      <c r="J22" s="44">
        <f t="shared" si="0"/>
        <v>0</v>
      </c>
      <c r="K22" s="64"/>
      <c r="L22" s="64"/>
      <c r="M22" s="64"/>
      <c r="N22" s="64"/>
      <c r="O22" s="64"/>
      <c r="P22" s="2"/>
      <c r="Q22" s="2"/>
      <c r="R22" s="2"/>
    </row>
    <row r="23" spans="1:15" ht="12.75">
      <c r="A23" s="41" t="s">
        <v>39</v>
      </c>
      <c r="B23" s="42">
        <v>82</v>
      </c>
      <c r="C23" s="43"/>
      <c r="D23" s="43"/>
      <c r="E23" s="43"/>
      <c r="F23" s="43"/>
      <c r="G23" s="43"/>
      <c r="H23" s="43"/>
      <c r="I23" s="43"/>
      <c r="J23" s="44">
        <f t="shared" si="0"/>
        <v>0</v>
      </c>
      <c r="K23" s="64"/>
      <c r="L23" s="64"/>
      <c r="M23" s="64"/>
      <c r="N23" s="64"/>
      <c r="O23" s="64"/>
    </row>
    <row r="24" spans="1:15" ht="12.75">
      <c r="A24" s="41" t="s">
        <v>32</v>
      </c>
      <c r="B24" s="42">
        <v>83</v>
      </c>
      <c r="C24" s="43"/>
      <c r="D24" s="43"/>
      <c r="E24" s="43"/>
      <c r="F24" s="43"/>
      <c r="G24" s="43"/>
      <c r="H24" s="43"/>
      <c r="I24" s="43"/>
      <c r="J24" s="44">
        <f t="shared" si="0"/>
        <v>0</v>
      </c>
      <c r="K24" s="64"/>
      <c r="L24" s="64"/>
      <c r="M24" s="64"/>
      <c r="N24" s="64"/>
      <c r="O24" s="64"/>
    </row>
    <row r="25" spans="1:15" ht="12.75">
      <c r="A25" s="41" t="s">
        <v>33</v>
      </c>
      <c r="B25" s="42">
        <v>84</v>
      </c>
      <c r="C25" s="43"/>
      <c r="D25" s="43"/>
      <c r="E25" s="43"/>
      <c r="F25" s="43"/>
      <c r="G25" s="43"/>
      <c r="H25" s="43"/>
      <c r="I25" s="43"/>
      <c r="J25" s="44">
        <f t="shared" si="0"/>
        <v>0</v>
      </c>
      <c r="K25" s="64"/>
      <c r="L25" s="64"/>
      <c r="M25" s="64"/>
      <c r="N25" s="64"/>
      <c r="O25" s="64"/>
    </row>
    <row r="26" spans="1:15" ht="12.75">
      <c r="A26" s="41" t="s">
        <v>34</v>
      </c>
      <c r="B26" s="42">
        <v>85</v>
      </c>
      <c r="C26" s="43"/>
      <c r="D26" s="43"/>
      <c r="E26" s="43"/>
      <c r="F26" s="43"/>
      <c r="G26" s="43"/>
      <c r="H26" s="43"/>
      <c r="I26" s="43"/>
      <c r="J26" s="44">
        <f t="shared" si="0"/>
        <v>0</v>
      </c>
      <c r="K26" s="64"/>
      <c r="L26" s="64"/>
      <c r="M26" s="64"/>
      <c r="N26" s="64"/>
      <c r="O26" s="64"/>
    </row>
    <row r="27" spans="1:15" ht="12.75">
      <c r="A27" s="41" t="s">
        <v>35</v>
      </c>
      <c r="B27" s="42">
        <v>86</v>
      </c>
      <c r="C27" s="43"/>
      <c r="D27" s="43"/>
      <c r="E27" s="43"/>
      <c r="F27" s="43"/>
      <c r="G27" s="43"/>
      <c r="H27" s="43"/>
      <c r="I27" s="43"/>
      <c r="J27" s="44">
        <f t="shared" si="0"/>
        <v>0</v>
      </c>
      <c r="K27" s="64"/>
      <c r="L27" s="64"/>
      <c r="M27" s="64"/>
      <c r="N27" s="64"/>
      <c r="O27" s="64"/>
    </row>
    <row r="28" spans="1:15" ht="12.75">
      <c r="A28" s="41" t="s">
        <v>36</v>
      </c>
      <c r="B28" s="42">
        <v>87</v>
      </c>
      <c r="C28" s="43"/>
      <c r="D28" s="43"/>
      <c r="E28" s="43"/>
      <c r="F28" s="43"/>
      <c r="G28" s="43"/>
      <c r="H28" s="43"/>
      <c r="I28" s="43"/>
      <c r="J28" s="44">
        <f t="shared" si="0"/>
        <v>0</v>
      </c>
      <c r="K28" s="64"/>
      <c r="L28" s="64"/>
      <c r="M28" s="64"/>
      <c r="N28" s="64"/>
      <c r="O28" s="64"/>
    </row>
    <row r="29" spans="1:15" ht="12.75">
      <c r="A29" s="41" t="s">
        <v>37</v>
      </c>
      <c r="B29" s="42">
        <v>88</v>
      </c>
      <c r="C29" s="43"/>
      <c r="D29" s="43"/>
      <c r="E29" s="43"/>
      <c r="F29" s="43"/>
      <c r="G29" s="43"/>
      <c r="H29" s="43"/>
      <c r="I29" s="43"/>
      <c r="J29" s="44">
        <f t="shared" si="0"/>
        <v>0</v>
      </c>
      <c r="K29" s="64"/>
      <c r="L29" s="64"/>
      <c r="M29" s="64"/>
      <c r="N29" s="64"/>
      <c r="O29" s="64"/>
    </row>
    <row r="30" spans="1:15" ht="12.75">
      <c r="A30" s="41" t="s">
        <v>40</v>
      </c>
      <c r="B30" s="42">
        <v>89</v>
      </c>
      <c r="C30" s="43"/>
      <c r="D30" s="43"/>
      <c r="E30" s="43"/>
      <c r="F30" s="43"/>
      <c r="G30" s="43"/>
      <c r="H30" s="43"/>
      <c r="I30" s="43"/>
      <c r="J30" s="44">
        <f t="shared" si="0"/>
        <v>0</v>
      </c>
      <c r="K30" s="64"/>
      <c r="L30" s="64"/>
      <c r="M30" s="64"/>
      <c r="N30" s="64"/>
      <c r="O30" s="64"/>
    </row>
    <row r="31" spans="1:15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4">
        <f t="shared" si="0"/>
        <v>0</v>
      </c>
      <c r="K31" s="64"/>
      <c r="L31" s="64"/>
      <c r="M31" s="64"/>
      <c r="N31" s="64"/>
      <c r="O31" s="64"/>
    </row>
    <row r="32" spans="1:15" s="48" customFormat="1" ht="12.75">
      <c r="A32" s="46" t="s">
        <v>73</v>
      </c>
      <c r="B32" s="42">
        <v>92</v>
      </c>
      <c r="C32" s="47">
        <f aca="true" t="shared" si="1" ref="C32:I32">SUM(C12:C31)</f>
        <v>0</v>
      </c>
      <c r="D32" s="47">
        <f>SUM(D12:D31)</f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4">
        <f t="shared" si="0"/>
        <v>0</v>
      </c>
      <c r="K32" s="126"/>
      <c r="L32" s="126"/>
      <c r="M32" s="126"/>
      <c r="N32" s="126"/>
      <c r="O32" s="126"/>
    </row>
    <row r="33" spans="1:15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4">
        <f t="shared" si="0"/>
        <v>0</v>
      </c>
      <c r="K33" s="64"/>
      <c r="L33" s="64"/>
      <c r="M33" s="64"/>
      <c r="N33" s="64"/>
      <c r="O33" s="64"/>
    </row>
    <row r="34" spans="1:15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4">
        <f t="shared" si="0"/>
        <v>0</v>
      </c>
      <c r="K34" s="64"/>
      <c r="L34" s="64"/>
      <c r="M34" s="64"/>
      <c r="N34" s="64"/>
      <c r="O34" s="64"/>
    </row>
    <row r="35" spans="1:15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4">
        <f t="shared" si="0"/>
        <v>0</v>
      </c>
      <c r="K35" s="64"/>
      <c r="L35" s="64"/>
      <c r="M35" s="64"/>
      <c r="N35" s="64"/>
      <c r="O35" s="64"/>
    </row>
    <row r="36" spans="1:15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4">
        <f t="shared" si="0"/>
        <v>0</v>
      </c>
      <c r="K36" s="64"/>
      <c r="L36" s="64"/>
      <c r="M36" s="64"/>
      <c r="N36" s="64"/>
      <c r="O36" s="64"/>
    </row>
    <row r="37" spans="1:15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4">
        <f t="shared" si="0"/>
        <v>0</v>
      </c>
      <c r="K37" s="64"/>
      <c r="L37" s="64"/>
      <c r="M37" s="64"/>
      <c r="N37" s="64"/>
      <c r="O37" s="64"/>
    </row>
    <row r="38" spans="1:15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4">
        <f t="shared" si="0"/>
        <v>0</v>
      </c>
      <c r="K38" s="64"/>
      <c r="L38" s="64"/>
      <c r="M38" s="64"/>
      <c r="N38" s="64"/>
      <c r="O38" s="64"/>
    </row>
    <row r="39" spans="1:15" s="48" customFormat="1" ht="12.75">
      <c r="A39" s="46" t="s">
        <v>72</v>
      </c>
      <c r="B39" s="42">
        <v>110</v>
      </c>
      <c r="C39" s="47">
        <f aca="true" t="shared" si="2" ref="C39:I39">SUM(C33:C38)</f>
        <v>0</v>
      </c>
      <c r="D39" s="47">
        <f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4">
        <f t="shared" si="0"/>
        <v>0</v>
      </c>
      <c r="K39" s="126"/>
      <c r="L39" s="126"/>
      <c r="M39" s="126"/>
      <c r="N39" s="126"/>
      <c r="O39" s="126"/>
    </row>
    <row r="40" spans="1:15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4">
        <f t="shared" si="0"/>
        <v>0</v>
      </c>
      <c r="K40" s="64"/>
      <c r="L40" s="64"/>
      <c r="M40" s="64"/>
      <c r="N40" s="64"/>
      <c r="O40" s="64"/>
    </row>
    <row r="41" spans="1:15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4">
        <f t="shared" si="0"/>
        <v>0</v>
      </c>
      <c r="K41" s="64"/>
      <c r="L41" s="64"/>
      <c r="M41" s="64"/>
      <c r="N41" s="64"/>
      <c r="O41" s="64"/>
    </row>
    <row r="42" spans="1:15" ht="12.75">
      <c r="A42" s="50" t="s">
        <v>59</v>
      </c>
      <c r="B42" s="42">
        <v>113</v>
      </c>
      <c r="C42" s="43"/>
      <c r="D42" s="43"/>
      <c r="E42" s="43"/>
      <c r="F42" s="43"/>
      <c r="G42" s="43"/>
      <c r="H42" s="43"/>
      <c r="I42" s="43"/>
      <c r="J42" s="44">
        <f t="shared" si="0"/>
        <v>0</v>
      </c>
      <c r="K42" s="64"/>
      <c r="L42" s="64"/>
      <c r="M42" s="64"/>
      <c r="N42" s="64"/>
      <c r="O42" s="64"/>
    </row>
    <row r="43" spans="1:15" ht="12.75">
      <c r="A43" s="50" t="s">
        <v>60</v>
      </c>
      <c r="B43" s="42">
        <v>114</v>
      </c>
      <c r="C43" s="43"/>
      <c r="D43" s="43"/>
      <c r="E43" s="43"/>
      <c r="F43" s="43"/>
      <c r="G43" s="43"/>
      <c r="H43" s="43"/>
      <c r="I43" s="43"/>
      <c r="J43" s="44">
        <f t="shared" si="0"/>
        <v>0</v>
      </c>
      <c r="K43" s="64"/>
      <c r="L43" s="64"/>
      <c r="M43" s="64"/>
      <c r="N43" s="64"/>
      <c r="O43" s="64"/>
    </row>
    <row r="44" spans="1:15" ht="12.75">
      <c r="A44" s="50" t="s">
        <v>61</v>
      </c>
      <c r="B44" s="42">
        <v>115</v>
      </c>
      <c r="C44" s="43"/>
      <c r="D44" s="43"/>
      <c r="E44" s="43"/>
      <c r="F44" s="43"/>
      <c r="G44" s="43"/>
      <c r="H44" s="43"/>
      <c r="I44" s="43"/>
      <c r="J44" s="44">
        <f t="shared" si="0"/>
        <v>0</v>
      </c>
      <c r="K44" s="64"/>
      <c r="L44" s="64"/>
      <c r="M44" s="64"/>
      <c r="N44" s="64"/>
      <c r="O44" s="64"/>
    </row>
    <row r="45" spans="1:15" ht="12.75">
      <c r="A45" s="50" t="s">
        <v>62</v>
      </c>
      <c r="B45" s="42">
        <v>119</v>
      </c>
      <c r="C45" s="43"/>
      <c r="D45" s="43"/>
      <c r="E45" s="43"/>
      <c r="F45" s="43"/>
      <c r="G45" s="43"/>
      <c r="H45" s="43"/>
      <c r="I45" s="43"/>
      <c r="J45" s="44">
        <f t="shared" si="0"/>
        <v>0</v>
      </c>
      <c r="K45" s="64"/>
      <c r="L45" s="64"/>
      <c r="M45" s="64"/>
      <c r="N45" s="64"/>
      <c r="O45" s="64"/>
    </row>
    <row r="46" spans="1:15" ht="12.75">
      <c r="A46" s="50" t="s">
        <v>63</v>
      </c>
      <c r="B46" s="42">
        <v>120</v>
      </c>
      <c r="C46" s="43"/>
      <c r="D46" s="43"/>
      <c r="E46" s="43"/>
      <c r="F46" s="43"/>
      <c r="G46" s="43"/>
      <c r="H46" s="43"/>
      <c r="I46" s="43"/>
      <c r="J46" s="44">
        <f t="shared" si="0"/>
        <v>0</v>
      </c>
      <c r="K46" s="64"/>
      <c r="L46" s="64"/>
      <c r="M46" s="64"/>
      <c r="N46" s="64"/>
      <c r="O46" s="64"/>
    </row>
    <row r="47" spans="1:15" s="48" customFormat="1" ht="12.75">
      <c r="A47" s="46" t="s">
        <v>74</v>
      </c>
      <c r="B47" s="47">
        <v>121</v>
      </c>
      <c r="C47" s="47">
        <f aca="true" t="shared" si="3" ref="C47:I47">SUM(C40:C46)</f>
        <v>0</v>
      </c>
      <c r="D47" s="47">
        <f>SUM(D40:D46)</f>
        <v>0</v>
      </c>
      <c r="E47" s="47">
        <f t="shared" si="3"/>
        <v>0</v>
      </c>
      <c r="F47" s="47">
        <f t="shared" si="3"/>
        <v>0</v>
      </c>
      <c r="G47" s="47">
        <f t="shared" si="3"/>
        <v>0</v>
      </c>
      <c r="H47" s="47">
        <f t="shared" si="3"/>
        <v>0</v>
      </c>
      <c r="I47" s="47">
        <f t="shared" si="3"/>
        <v>0</v>
      </c>
      <c r="J47" s="44">
        <f t="shared" si="0"/>
        <v>0</v>
      </c>
      <c r="K47" s="126"/>
      <c r="L47" s="126"/>
      <c r="M47" s="126"/>
      <c r="N47" s="126"/>
      <c r="O47" s="126"/>
    </row>
    <row r="48" spans="1:15" s="48" customFormat="1" ht="12.75">
      <c r="A48" s="46" t="s">
        <v>119</v>
      </c>
      <c r="B48" s="47">
        <v>152</v>
      </c>
      <c r="C48" s="47">
        <f aca="true" t="shared" si="4" ref="C48:I48">C32+C39+C47</f>
        <v>0</v>
      </c>
      <c r="D48" s="47">
        <f>D32+D39+D47</f>
        <v>0</v>
      </c>
      <c r="E48" s="47">
        <f t="shared" si="4"/>
        <v>0</v>
      </c>
      <c r="F48" s="47">
        <f t="shared" si="4"/>
        <v>0</v>
      </c>
      <c r="G48" s="47">
        <f t="shared" si="4"/>
        <v>0</v>
      </c>
      <c r="H48" s="47">
        <f t="shared" si="4"/>
        <v>0</v>
      </c>
      <c r="I48" s="47">
        <f t="shared" si="4"/>
        <v>0</v>
      </c>
      <c r="J48" s="44">
        <f t="shared" si="0"/>
        <v>0</v>
      </c>
      <c r="K48" s="126"/>
      <c r="L48" s="126"/>
      <c r="M48" s="126"/>
      <c r="N48" s="126"/>
      <c r="O48" s="126"/>
    </row>
    <row r="49" spans="1:15" s="48" customFormat="1" ht="12.75">
      <c r="A49" s="46" t="s">
        <v>51</v>
      </c>
      <c r="B49" s="47">
        <v>158</v>
      </c>
      <c r="C49" s="51"/>
      <c r="D49" s="51"/>
      <c r="E49" s="51"/>
      <c r="F49" s="51"/>
      <c r="G49" s="51"/>
      <c r="H49" s="51"/>
      <c r="I49" s="51"/>
      <c r="J49" s="44">
        <f t="shared" si="0"/>
        <v>0</v>
      </c>
      <c r="K49" s="126"/>
      <c r="L49" s="126"/>
      <c r="M49" s="126"/>
      <c r="N49" s="126"/>
      <c r="O49" s="126"/>
    </row>
    <row r="50" spans="1:15" s="48" customFormat="1" ht="12.75">
      <c r="A50" s="46" t="s">
        <v>75</v>
      </c>
      <c r="B50" s="47">
        <v>159</v>
      </c>
      <c r="C50" s="47">
        <f aca="true" t="shared" si="5" ref="C50:I50">C48+C49</f>
        <v>0</v>
      </c>
      <c r="D50" s="47">
        <f>D48+D49</f>
        <v>0</v>
      </c>
      <c r="E50" s="47">
        <f t="shared" si="5"/>
        <v>0</v>
      </c>
      <c r="F50" s="47">
        <f t="shared" si="5"/>
        <v>0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4">
        <f t="shared" si="0"/>
        <v>0</v>
      </c>
      <c r="K50" s="126"/>
      <c r="L50" s="126"/>
      <c r="M50" s="126"/>
      <c r="N50" s="126"/>
      <c r="O50" s="126"/>
    </row>
    <row r="51" spans="1:14" s="48" customFormat="1" ht="12.75">
      <c r="A51" s="113"/>
      <c r="B51" s="114"/>
      <c r="C51" s="114"/>
      <c r="D51" s="114"/>
      <c r="E51" s="114"/>
      <c r="F51" s="114"/>
      <c r="G51" s="114"/>
      <c r="H51" s="114"/>
      <c r="I51" s="114"/>
      <c r="J51" s="115"/>
      <c r="K51" s="52"/>
      <c r="L51" s="52"/>
      <c r="M51" s="52"/>
      <c r="N51" s="52"/>
    </row>
    <row r="52" spans="1:14" s="48" customFormat="1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39"/>
      <c r="N52" s="135"/>
    </row>
    <row r="53" spans="1:14" s="48" customFormat="1" ht="12.75">
      <c r="A53" s="178" t="s">
        <v>3</v>
      </c>
      <c r="B53" s="136" t="s">
        <v>49</v>
      </c>
      <c r="C53" s="137" t="s">
        <v>188</v>
      </c>
      <c r="D53" s="137" t="s">
        <v>189</v>
      </c>
      <c r="E53" s="137" t="s">
        <v>106</v>
      </c>
      <c r="F53" s="137" t="s">
        <v>190</v>
      </c>
      <c r="G53" s="137" t="s">
        <v>191</v>
      </c>
      <c r="H53" s="137" t="s">
        <v>192</v>
      </c>
      <c r="I53" s="137" t="s">
        <v>192</v>
      </c>
      <c r="J53" s="137" t="s">
        <v>192</v>
      </c>
      <c r="K53" s="191" t="s">
        <v>160</v>
      </c>
      <c r="L53" s="192"/>
      <c r="M53" s="127"/>
      <c r="N53" s="128"/>
    </row>
    <row r="54" spans="1:14" s="48" customFormat="1" ht="12.75">
      <c r="A54" s="179"/>
      <c r="B54" s="54" t="s">
        <v>50</v>
      </c>
      <c r="C54" s="55" t="s">
        <v>105</v>
      </c>
      <c r="D54" s="55" t="s">
        <v>105</v>
      </c>
      <c r="E54" s="55" t="s">
        <v>105</v>
      </c>
      <c r="F54" s="55" t="s">
        <v>109</v>
      </c>
      <c r="G54" s="55" t="s">
        <v>109</v>
      </c>
      <c r="H54" s="55" t="s">
        <v>193</v>
      </c>
      <c r="I54" s="55" t="s">
        <v>194</v>
      </c>
      <c r="J54" s="117" t="s">
        <v>114</v>
      </c>
      <c r="K54" s="54" t="s">
        <v>162</v>
      </c>
      <c r="L54" s="129" t="s">
        <v>161</v>
      </c>
      <c r="M54" s="127"/>
      <c r="N54" s="128"/>
    </row>
    <row r="55" spans="1:16" s="48" customFormat="1" ht="12.75">
      <c r="A55" s="56"/>
      <c r="B55" s="57">
        <f>IF(A55="","",VLOOKUP(A55,$A$12:$B$50,2,FALSE))</f>
      </c>
      <c r="C55" s="57"/>
      <c r="D55" s="57"/>
      <c r="E55" s="57"/>
      <c r="F55" s="57"/>
      <c r="G55" s="57"/>
      <c r="H55" s="57"/>
      <c r="I55" s="57"/>
      <c r="J55" s="130"/>
      <c r="K55" s="57"/>
      <c r="L55" s="58"/>
      <c r="M55" s="131"/>
      <c r="N55" s="114"/>
      <c r="O55" s="116"/>
      <c r="P55" s="132"/>
    </row>
    <row r="56" spans="1:16" s="48" customFormat="1" ht="12.75">
      <c r="A56" s="60"/>
      <c r="B56" s="61">
        <f>IF(A56="","",VLOOKUP(A56,$A$12:$B$50,2,FALSE))</f>
      </c>
      <c r="C56" s="61"/>
      <c r="D56" s="61"/>
      <c r="E56" s="61"/>
      <c r="F56" s="61"/>
      <c r="G56" s="61"/>
      <c r="H56" s="61"/>
      <c r="I56" s="61"/>
      <c r="J56" s="133"/>
      <c r="K56" s="61"/>
      <c r="L56" s="62"/>
      <c r="M56" s="131"/>
      <c r="N56" s="114"/>
      <c r="O56" s="116"/>
      <c r="P56" s="132"/>
    </row>
    <row r="57" spans="1:16" s="48" customFormat="1" ht="12.75">
      <c r="A57" s="60"/>
      <c r="B57" s="61">
        <f>IF(A57="","",VLOOKUP(A57,$A$12:$B$50,2,FALSE))</f>
      </c>
      <c r="C57" s="61"/>
      <c r="D57" s="61"/>
      <c r="E57" s="61"/>
      <c r="F57" s="61"/>
      <c r="G57" s="61"/>
      <c r="H57" s="61"/>
      <c r="I57" s="61"/>
      <c r="J57" s="133"/>
      <c r="K57" s="61"/>
      <c r="L57" s="62"/>
      <c r="M57" s="131"/>
      <c r="N57" s="114"/>
      <c r="O57" s="116"/>
      <c r="P57" s="132"/>
    </row>
    <row r="58" spans="1:16" ht="12.75">
      <c r="A58" s="60"/>
      <c r="B58" s="61">
        <f>IF(A58="","",VLOOKUP(A58,$A$12:$B$50,2,FALSE))</f>
      </c>
      <c r="C58" s="61"/>
      <c r="D58" s="61"/>
      <c r="E58" s="61"/>
      <c r="F58" s="61"/>
      <c r="G58" s="61"/>
      <c r="H58" s="61"/>
      <c r="I58" s="61"/>
      <c r="J58" s="61"/>
      <c r="K58" s="61"/>
      <c r="L58" s="62"/>
      <c r="M58" s="131"/>
      <c r="N58" s="114"/>
      <c r="O58" s="134"/>
      <c r="P58" s="45"/>
    </row>
    <row r="60" spans="1:6" ht="12.75">
      <c r="A60" s="63" t="s">
        <v>21</v>
      </c>
      <c r="B60" s="175"/>
      <c r="C60" s="175"/>
      <c r="D60" s="175"/>
      <c r="E60" s="175"/>
      <c r="F60" s="64"/>
    </row>
    <row r="61" spans="8:9" ht="12.75">
      <c r="H61" s="174"/>
      <c r="I61" s="174"/>
    </row>
    <row r="62" spans="8:9" ht="12.75">
      <c r="H62" s="173" t="s">
        <v>48</v>
      </c>
      <c r="I62" s="173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131</v>
      </c>
    </row>
    <row r="2" spans="1:12" ht="12.75">
      <c r="A2" s="3" t="s">
        <v>71</v>
      </c>
      <c r="H2" s="4"/>
      <c r="I2" s="4"/>
      <c r="J2" s="5" t="s">
        <v>0</v>
      </c>
      <c r="K2" s="169" t="s">
        <v>210</v>
      </c>
      <c r="L2" s="170"/>
    </row>
    <row r="3" spans="1:12" ht="12.75">
      <c r="A3" s="3"/>
      <c r="H3" s="4"/>
      <c r="I3" s="4"/>
      <c r="J3" s="5" t="s">
        <v>77</v>
      </c>
      <c r="K3" s="169" t="s">
        <v>208</v>
      </c>
      <c r="L3" s="170"/>
    </row>
    <row r="4" ht="18" customHeight="1">
      <c r="A4" s="6"/>
    </row>
    <row r="5" spans="1:13" ht="18">
      <c r="A5" s="172" t="s">
        <v>82</v>
      </c>
      <c r="B5" s="172"/>
      <c r="C5" s="172"/>
      <c r="D5" s="172"/>
      <c r="E5" s="7" t="s">
        <v>83</v>
      </c>
      <c r="F5" s="171" t="s">
        <v>84</v>
      </c>
      <c r="G5" s="171"/>
      <c r="H5" s="171"/>
      <c r="I5" s="171"/>
      <c r="J5" s="171"/>
      <c r="K5" s="171"/>
      <c r="L5" s="171"/>
      <c r="M5" s="17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83" t="s">
        <v>121</v>
      </c>
      <c r="N7" s="18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9" t="s">
        <v>122</v>
      </c>
      <c r="N9" s="190"/>
    </row>
    <row r="10" spans="1:14" ht="13.5" thickBot="1">
      <c r="A10" s="25"/>
      <c r="B10" s="26"/>
      <c r="C10" s="176" t="s">
        <v>101</v>
      </c>
      <c r="D10" s="177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32"/>
      <c r="N10" s="33"/>
    </row>
    <row r="11" spans="1:14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9"/>
    </row>
    <row r="12" spans="1:14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3"/>
      <c r="K12" s="44">
        <f>SUM(C12:J12)</f>
        <v>0</v>
      </c>
      <c r="L12" s="43"/>
      <c r="M12" s="43"/>
      <c r="N12" s="43"/>
    </row>
    <row r="13" spans="1:14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3"/>
      <c r="K13" s="44">
        <f aca="true" t="shared" si="0" ref="K13:K50">SUM(C13:J13)</f>
        <v>0</v>
      </c>
      <c r="L13" s="43"/>
      <c r="M13" s="43"/>
      <c r="N13" s="43"/>
    </row>
    <row r="14" spans="1:14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3"/>
      <c r="K14" s="44">
        <f t="shared" si="0"/>
        <v>0</v>
      </c>
      <c r="L14" s="43"/>
      <c r="M14" s="43"/>
      <c r="N14" s="43"/>
    </row>
    <row r="15" spans="1:14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3"/>
      <c r="K15" s="44">
        <f t="shared" si="0"/>
        <v>0</v>
      </c>
      <c r="L15" s="43"/>
      <c r="M15" s="43"/>
      <c r="N15" s="43"/>
    </row>
    <row r="16" spans="1:14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3"/>
      <c r="K16" s="44">
        <f t="shared" si="0"/>
        <v>0</v>
      </c>
      <c r="L16" s="43"/>
      <c r="M16" s="43"/>
      <c r="N16" s="43"/>
    </row>
    <row r="17" spans="1:14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3"/>
      <c r="K17" s="44">
        <f t="shared" si="0"/>
        <v>0</v>
      </c>
      <c r="L17" s="43"/>
      <c r="M17" s="43"/>
      <c r="N17" s="43"/>
    </row>
    <row r="18" spans="1:14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3"/>
      <c r="K18" s="44">
        <f t="shared" si="0"/>
        <v>0</v>
      </c>
      <c r="L18" s="43"/>
      <c r="M18" s="43"/>
      <c r="N18" s="43"/>
    </row>
    <row r="19" spans="1:14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3"/>
      <c r="K19" s="44">
        <f t="shared" si="0"/>
        <v>0</v>
      </c>
      <c r="L19" s="43"/>
      <c r="M19" s="43"/>
      <c r="N19" s="43"/>
    </row>
    <row r="20" spans="1:14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3"/>
      <c r="K20" s="44">
        <f t="shared" si="0"/>
        <v>0</v>
      </c>
      <c r="L20" s="43"/>
      <c r="M20" s="43"/>
      <c r="N20" s="43"/>
    </row>
    <row r="21" spans="1:14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3"/>
      <c r="K21" s="44">
        <f t="shared" si="0"/>
        <v>0</v>
      </c>
      <c r="L21" s="43"/>
      <c r="M21" s="43"/>
      <c r="N21" s="43"/>
    </row>
    <row r="22" spans="1:21" s="45" customFormat="1" ht="12.75" customHeight="1">
      <c r="A22" s="41" t="s">
        <v>38</v>
      </c>
      <c r="B22" s="42">
        <v>81</v>
      </c>
      <c r="C22" s="163">
        <v>310805</v>
      </c>
      <c r="D22" s="163"/>
      <c r="E22" s="163"/>
      <c r="F22" s="163"/>
      <c r="G22" s="163"/>
      <c r="H22" s="163"/>
      <c r="I22" s="43"/>
      <c r="J22" s="163">
        <v>39526</v>
      </c>
      <c r="K22" s="44">
        <f t="shared" si="0"/>
        <v>350331</v>
      </c>
      <c r="L22" s="163"/>
      <c r="M22" s="43">
        <v>4</v>
      </c>
      <c r="N22" s="43">
        <v>4</v>
      </c>
      <c r="O22" s="2"/>
      <c r="P22" s="2"/>
      <c r="Q22" s="2"/>
      <c r="R22" s="2"/>
      <c r="S22" s="2"/>
      <c r="T22" s="2"/>
      <c r="U22" s="2"/>
    </row>
    <row r="23" spans="1:14" ht="12.75">
      <c r="A23" s="41" t="s">
        <v>39</v>
      </c>
      <c r="B23" s="42">
        <v>82</v>
      </c>
      <c r="C23" s="163">
        <v>111320</v>
      </c>
      <c r="D23" s="163"/>
      <c r="E23" s="163"/>
      <c r="F23" s="163"/>
      <c r="G23" s="163"/>
      <c r="H23" s="163"/>
      <c r="I23" s="43"/>
      <c r="J23" s="163">
        <v>0</v>
      </c>
      <c r="K23" s="44">
        <f t="shared" si="0"/>
        <v>111320</v>
      </c>
      <c r="L23" s="163"/>
      <c r="M23" s="43">
        <v>1</v>
      </c>
      <c r="N23" s="43">
        <v>1</v>
      </c>
    </row>
    <row r="24" spans="1:14" ht="12.75">
      <c r="A24" s="41" t="s">
        <v>32</v>
      </c>
      <c r="B24" s="42">
        <v>83</v>
      </c>
      <c r="C24" s="163">
        <v>595236</v>
      </c>
      <c r="D24" s="163"/>
      <c r="E24" s="163"/>
      <c r="F24" s="163"/>
      <c r="G24" s="163">
        <v>46335</v>
      </c>
      <c r="H24" s="163"/>
      <c r="I24" s="43"/>
      <c r="J24" s="163">
        <v>49822</v>
      </c>
      <c r="K24" s="44">
        <f t="shared" si="0"/>
        <v>691393</v>
      </c>
      <c r="L24" s="163">
        <v>12165</v>
      </c>
      <c r="M24" s="43">
        <v>5</v>
      </c>
      <c r="N24" s="43">
        <v>8</v>
      </c>
    </row>
    <row r="25" spans="1:14" ht="12.75">
      <c r="A25" s="41" t="s">
        <v>33</v>
      </c>
      <c r="B25" s="42">
        <v>84</v>
      </c>
      <c r="C25" s="163">
        <v>4454929</v>
      </c>
      <c r="D25" s="163"/>
      <c r="E25" s="163"/>
      <c r="F25" s="163"/>
      <c r="G25" s="163">
        <v>133403</v>
      </c>
      <c r="H25" s="163"/>
      <c r="I25" s="43"/>
      <c r="J25" s="163">
        <v>338788</v>
      </c>
      <c r="K25" s="44">
        <f t="shared" si="0"/>
        <v>4927120</v>
      </c>
      <c r="L25" s="163">
        <v>100620</v>
      </c>
      <c r="M25" s="43">
        <v>39</v>
      </c>
      <c r="N25" s="43">
        <v>27</v>
      </c>
    </row>
    <row r="26" spans="1:14" ht="12.75">
      <c r="A26" s="41" t="s">
        <v>34</v>
      </c>
      <c r="B26" s="42">
        <v>85</v>
      </c>
      <c r="C26" s="163">
        <v>424212</v>
      </c>
      <c r="D26" s="163"/>
      <c r="E26" s="163"/>
      <c r="F26" s="163">
        <v>9800</v>
      </c>
      <c r="G26" s="163">
        <v>110381</v>
      </c>
      <c r="H26" s="163"/>
      <c r="I26" s="43"/>
      <c r="J26" s="163">
        <v>41152</v>
      </c>
      <c r="K26" s="44">
        <f t="shared" si="0"/>
        <v>585545</v>
      </c>
      <c r="L26" s="163">
        <v>24671</v>
      </c>
      <c r="M26" s="43">
        <v>3</v>
      </c>
      <c r="N26" s="43">
        <v>1</v>
      </c>
    </row>
    <row r="27" spans="1:14" ht="12.75">
      <c r="A27" s="41" t="s">
        <v>35</v>
      </c>
      <c r="B27" s="42">
        <v>86</v>
      </c>
      <c r="C27" s="163">
        <v>1378300</v>
      </c>
      <c r="D27" s="163"/>
      <c r="E27" s="163"/>
      <c r="F27" s="163"/>
      <c r="G27" s="163"/>
      <c r="H27" s="163"/>
      <c r="I27" s="43"/>
      <c r="J27" s="163">
        <v>75274</v>
      </c>
      <c r="K27" s="44">
        <f t="shared" si="0"/>
        <v>1453574</v>
      </c>
      <c r="L27" s="163"/>
      <c r="M27" s="43">
        <v>6</v>
      </c>
      <c r="N27" s="43">
        <v>4</v>
      </c>
    </row>
    <row r="28" spans="1:14" ht="12.75">
      <c r="A28" s="41" t="s">
        <v>36</v>
      </c>
      <c r="B28" s="42">
        <v>87</v>
      </c>
      <c r="C28" s="163">
        <v>714614</v>
      </c>
      <c r="D28" s="163"/>
      <c r="E28" s="163"/>
      <c r="F28" s="163">
        <v>29400</v>
      </c>
      <c r="G28" s="163">
        <v>39200</v>
      </c>
      <c r="H28" s="163"/>
      <c r="I28" s="43"/>
      <c r="J28" s="163">
        <v>120922</v>
      </c>
      <c r="K28" s="44">
        <f t="shared" si="0"/>
        <v>904136</v>
      </c>
      <c r="L28" s="163"/>
      <c r="M28" s="43">
        <v>4</v>
      </c>
      <c r="N28" s="43">
        <v>1</v>
      </c>
    </row>
    <row r="29" spans="1:14" ht="12.75">
      <c r="A29" s="41" t="s">
        <v>37</v>
      </c>
      <c r="B29" s="42">
        <v>88</v>
      </c>
      <c r="C29" s="163">
        <v>542100</v>
      </c>
      <c r="D29" s="163"/>
      <c r="E29" s="163"/>
      <c r="F29" s="163"/>
      <c r="G29" s="163">
        <v>39200</v>
      </c>
      <c r="H29" s="163"/>
      <c r="I29" s="43"/>
      <c r="J29" s="163">
        <v>45175</v>
      </c>
      <c r="K29" s="44">
        <f t="shared" si="0"/>
        <v>626475</v>
      </c>
      <c r="L29" s="163"/>
      <c r="M29" s="43">
        <v>2</v>
      </c>
      <c r="N29" s="43">
        <v>3</v>
      </c>
    </row>
    <row r="30" spans="1:14" ht="12.75">
      <c r="A30" s="41" t="s">
        <v>40</v>
      </c>
      <c r="B30" s="42">
        <v>89</v>
      </c>
      <c r="C30" s="163">
        <v>1500545</v>
      </c>
      <c r="D30" s="163"/>
      <c r="E30" s="163"/>
      <c r="F30" s="163"/>
      <c r="G30" s="163"/>
      <c r="H30" s="163"/>
      <c r="I30" s="43"/>
      <c r="J30" s="163">
        <v>249448</v>
      </c>
      <c r="K30" s="44">
        <f t="shared" si="0"/>
        <v>1749993</v>
      </c>
      <c r="L30" s="163">
        <v>233020</v>
      </c>
      <c r="M30" s="43">
        <v>5</v>
      </c>
      <c r="N30" s="43">
        <v>0</v>
      </c>
    </row>
    <row r="31" spans="1:14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3"/>
      <c r="K31" s="44">
        <f t="shared" si="0"/>
        <v>0</v>
      </c>
      <c r="L31" s="43"/>
      <c r="M31" s="43"/>
      <c r="N31" s="43">
        <v>0</v>
      </c>
    </row>
    <row r="32" spans="1:14" s="48" customFormat="1" ht="12.75">
      <c r="A32" s="46" t="s">
        <v>73</v>
      </c>
      <c r="B32" s="42">
        <v>92</v>
      </c>
      <c r="C32" s="47">
        <f>SUM(C12:C31)</f>
        <v>10032061</v>
      </c>
      <c r="D32" s="47">
        <f aca="true" t="shared" si="1" ref="D32:J32">SUM(D12:D31)</f>
        <v>0</v>
      </c>
      <c r="E32" s="47">
        <f t="shared" si="1"/>
        <v>0</v>
      </c>
      <c r="F32" s="47">
        <f t="shared" si="1"/>
        <v>39200</v>
      </c>
      <c r="G32" s="47">
        <f t="shared" si="1"/>
        <v>368519</v>
      </c>
      <c r="H32" s="47">
        <f t="shared" si="1"/>
        <v>0</v>
      </c>
      <c r="I32" s="47">
        <f t="shared" si="1"/>
        <v>0</v>
      </c>
      <c r="J32" s="47">
        <f t="shared" si="1"/>
        <v>960107</v>
      </c>
      <c r="K32" s="44">
        <f t="shared" si="0"/>
        <v>11399887</v>
      </c>
      <c r="L32" s="47">
        <f>SUM(L12:L31)</f>
        <v>370476</v>
      </c>
      <c r="M32" s="47">
        <f>SUM(M12:M31)</f>
        <v>69</v>
      </c>
      <c r="N32" s="47">
        <f>SUM(N12:N31)</f>
        <v>49</v>
      </c>
    </row>
    <row r="33" spans="1:14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3"/>
      <c r="K33" s="44">
        <f t="shared" si="0"/>
        <v>0</v>
      </c>
      <c r="L33" s="43"/>
      <c r="M33" s="43"/>
      <c r="N33" s="43"/>
    </row>
    <row r="34" spans="1:14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3"/>
      <c r="K34" s="44">
        <f t="shared" si="0"/>
        <v>0</v>
      </c>
      <c r="L34" s="43"/>
      <c r="M34" s="43"/>
      <c r="N34" s="43"/>
    </row>
    <row r="35" spans="1:14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3"/>
      <c r="K35" s="44">
        <f t="shared" si="0"/>
        <v>0</v>
      </c>
      <c r="L35" s="43"/>
      <c r="M35" s="43"/>
      <c r="N35" s="43"/>
    </row>
    <row r="36" spans="1:14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3"/>
      <c r="K36" s="44">
        <f t="shared" si="0"/>
        <v>0</v>
      </c>
      <c r="L36" s="43"/>
      <c r="M36" s="43"/>
      <c r="N36" s="43"/>
    </row>
    <row r="37" spans="1:14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3"/>
      <c r="K37" s="44">
        <f t="shared" si="0"/>
        <v>0</v>
      </c>
      <c r="L37" s="43"/>
      <c r="M37" s="43"/>
      <c r="N37" s="43"/>
    </row>
    <row r="38" spans="1:14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3"/>
      <c r="K38" s="44">
        <f t="shared" si="0"/>
        <v>0</v>
      </c>
      <c r="L38" s="43"/>
      <c r="M38" s="43"/>
      <c r="N38" s="43"/>
    </row>
    <row r="39" spans="1:14" s="48" customFormat="1" ht="12.75">
      <c r="A39" s="46" t="s">
        <v>72</v>
      </c>
      <c r="B39" s="42">
        <v>110</v>
      </c>
      <c r="C39" s="47">
        <f>SUM(C33:C38)</f>
        <v>0</v>
      </c>
      <c r="D39" s="47">
        <f aca="true" t="shared" si="2" ref="D39:J39"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44">
        <f t="shared" si="0"/>
        <v>0</v>
      </c>
      <c r="L39" s="47">
        <f>SUM(L33:L38)</f>
        <v>0</v>
      </c>
      <c r="M39" s="47">
        <f>SUM(M33:M38)</f>
        <v>0</v>
      </c>
      <c r="N39" s="47">
        <f>SUM(N33:N38)</f>
        <v>0</v>
      </c>
    </row>
    <row r="40" spans="1:14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3"/>
      <c r="K40" s="44">
        <f t="shared" si="0"/>
        <v>0</v>
      </c>
      <c r="L40" s="43"/>
      <c r="M40" s="43"/>
      <c r="N40" s="43"/>
    </row>
    <row r="41" spans="1:14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3"/>
      <c r="K41" s="44">
        <f t="shared" si="0"/>
        <v>0</v>
      </c>
      <c r="L41" s="43"/>
      <c r="M41" s="43"/>
      <c r="N41" s="43"/>
    </row>
    <row r="42" spans="1:14" ht="12.75">
      <c r="A42" s="50" t="s">
        <v>59</v>
      </c>
      <c r="B42" s="42">
        <v>113</v>
      </c>
      <c r="C42" s="163">
        <v>353280</v>
      </c>
      <c r="D42" s="163">
        <v>34960</v>
      </c>
      <c r="E42" s="163">
        <v>105984</v>
      </c>
      <c r="F42" s="163">
        <v>11040</v>
      </c>
      <c r="G42" s="163">
        <v>131744</v>
      </c>
      <c r="H42" s="43"/>
      <c r="I42" s="43"/>
      <c r="J42" s="163">
        <v>53084</v>
      </c>
      <c r="K42" s="44">
        <f t="shared" si="0"/>
        <v>690092</v>
      </c>
      <c r="L42" s="163">
        <v>400000</v>
      </c>
      <c r="M42" s="43">
        <v>1</v>
      </c>
      <c r="N42" s="43">
        <v>1</v>
      </c>
    </row>
    <row r="43" spans="1:14" ht="12.75">
      <c r="A43" s="50" t="s">
        <v>60</v>
      </c>
      <c r="B43" s="42">
        <v>114</v>
      </c>
      <c r="C43" s="163">
        <v>1104000</v>
      </c>
      <c r="D43" s="163">
        <v>105984</v>
      </c>
      <c r="E43" s="163">
        <v>331200</v>
      </c>
      <c r="F43" s="163">
        <v>49680</v>
      </c>
      <c r="G43" s="163">
        <v>236624</v>
      </c>
      <c r="H43" s="43"/>
      <c r="I43" s="43"/>
      <c r="J43" s="163">
        <v>152290</v>
      </c>
      <c r="K43" s="44">
        <f t="shared" si="0"/>
        <v>1979778</v>
      </c>
      <c r="L43" s="163">
        <v>134612</v>
      </c>
      <c r="M43" s="43">
        <v>4</v>
      </c>
      <c r="N43" s="43">
        <v>4</v>
      </c>
    </row>
    <row r="44" spans="1:14" ht="12.75">
      <c r="A44" s="50" t="s">
        <v>61</v>
      </c>
      <c r="B44" s="42">
        <v>115</v>
      </c>
      <c r="C44" s="163">
        <v>4107774</v>
      </c>
      <c r="D44" s="163">
        <v>384350</v>
      </c>
      <c r="E44" s="163">
        <v>1138960</v>
      </c>
      <c r="F44" s="163">
        <v>193200</v>
      </c>
      <c r="G44" s="163">
        <v>475009</v>
      </c>
      <c r="H44" s="43"/>
      <c r="I44" s="43"/>
      <c r="J44" s="163">
        <v>472788</v>
      </c>
      <c r="K44" s="44">
        <f t="shared" si="0"/>
        <v>6772081</v>
      </c>
      <c r="L44" s="163">
        <v>1277794</v>
      </c>
      <c r="M44" s="43">
        <v>15</v>
      </c>
      <c r="N44" s="43">
        <v>16</v>
      </c>
    </row>
    <row r="45" spans="1:14" ht="12.75">
      <c r="A45" s="50" t="s">
        <v>62</v>
      </c>
      <c r="B45" s="42">
        <v>119</v>
      </c>
      <c r="C45" s="163">
        <v>14412234</v>
      </c>
      <c r="D45" s="163">
        <v>1652300</v>
      </c>
      <c r="E45" s="163">
        <v>4014345</v>
      </c>
      <c r="F45" s="163">
        <v>1286213</v>
      </c>
      <c r="G45" s="163">
        <v>390199</v>
      </c>
      <c r="H45" s="43"/>
      <c r="I45" s="43"/>
      <c r="J45" s="163">
        <v>1624583</v>
      </c>
      <c r="K45" s="44">
        <f t="shared" si="0"/>
        <v>23379874</v>
      </c>
      <c r="L45" s="163">
        <v>1434436</v>
      </c>
      <c r="M45" s="43">
        <v>78</v>
      </c>
      <c r="N45" s="43">
        <v>89</v>
      </c>
    </row>
    <row r="46" spans="1:14" ht="12.75">
      <c r="A46" s="50" t="s">
        <v>63</v>
      </c>
      <c r="B46" s="42">
        <v>120</v>
      </c>
      <c r="C46" s="163">
        <v>53474410</v>
      </c>
      <c r="D46" s="163">
        <v>7778980</v>
      </c>
      <c r="E46" s="163">
        <v>8247548</v>
      </c>
      <c r="F46" s="163">
        <v>538858</v>
      </c>
      <c r="G46" s="163">
        <v>6689675</v>
      </c>
      <c r="H46" s="43"/>
      <c r="I46" s="43"/>
      <c r="J46" s="163">
        <v>5760764</v>
      </c>
      <c r="K46" s="44">
        <f t="shared" si="0"/>
        <v>82490235</v>
      </c>
      <c r="L46" s="163">
        <v>9993888</v>
      </c>
      <c r="M46" s="43">
        <v>527</v>
      </c>
      <c r="N46" s="43">
        <v>631</v>
      </c>
    </row>
    <row r="47" spans="1:14" s="48" customFormat="1" ht="12.75">
      <c r="A47" s="46" t="s">
        <v>74</v>
      </c>
      <c r="B47" s="47">
        <v>121</v>
      </c>
      <c r="C47" s="162">
        <f>SUM(C40:C46)</f>
        <v>73451698</v>
      </c>
      <c r="D47" s="162">
        <f aca="true" t="shared" si="3" ref="D47:J47">SUM(D40:D46)</f>
        <v>9956574</v>
      </c>
      <c r="E47" s="162">
        <f t="shared" si="3"/>
        <v>13838037</v>
      </c>
      <c r="F47" s="162">
        <f t="shared" si="3"/>
        <v>2078991</v>
      </c>
      <c r="G47" s="162">
        <f t="shared" si="3"/>
        <v>7923251</v>
      </c>
      <c r="H47" s="162">
        <f t="shared" si="3"/>
        <v>0</v>
      </c>
      <c r="I47" s="162">
        <f t="shared" si="3"/>
        <v>0</v>
      </c>
      <c r="J47" s="162">
        <f t="shared" si="3"/>
        <v>8063509</v>
      </c>
      <c r="K47" s="44">
        <f t="shared" si="0"/>
        <v>115312060</v>
      </c>
      <c r="L47" s="162">
        <f>SUM(L40:L46)</f>
        <v>13240730</v>
      </c>
      <c r="M47" s="162">
        <f>SUM(M40:M46)</f>
        <v>625</v>
      </c>
      <c r="N47" s="162">
        <f>SUM(N40:N46)</f>
        <v>741</v>
      </c>
    </row>
    <row r="48" spans="1:14" s="48" customFormat="1" ht="12.75">
      <c r="A48" s="46" t="s">
        <v>119</v>
      </c>
      <c r="B48" s="47">
        <v>152</v>
      </c>
      <c r="C48" s="47">
        <f>C32+C39+C47</f>
        <v>83483759</v>
      </c>
      <c r="D48" s="47">
        <f aca="true" t="shared" si="4" ref="D48:J48">D32+D39+D47</f>
        <v>9956574</v>
      </c>
      <c r="E48" s="47">
        <f t="shared" si="4"/>
        <v>13838037</v>
      </c>
      <c r="F48" s="47">
        <f t="shared" si="4"/>
        <v>2118191</v>
      </c>
      <c r="G48" s="47">
        <f t="shared" si="4"/>
        <v>8291770</v>
      </c>
      <c r="H48" s="47">
        <f t="shared" si="4"/>
        <v>0</v>
      </c>
      <c r="I48" s="47">
        <f t="shared" si="4"/>
        <v>0</v>
      </c>
      <c r="J48" s="47">
        <f t="shared" si="4"/>
        <v>9023616</v>
      </c>
      <c r="K48" s="44">
        <f t="shared" si="0"/>
        <v>126711947</v>
      </c>
      <c r="L48" s="47">
        <f>L32+L39+L47</f>
        <v>13611206</v>
      </c>
      <c r="M48" s="47">
        <f>M32+M39+M47</f>
        <v>694</v>
      </c>
      <c r="N48" s="47">
        <f>N32+N39+N47</f>
        <v>790</v>
      </c>
    </row>
    <row r="49" spans="1:14" s="48" customFormat="1" ht="12.75">
      <c r="A49" s="46" t="s">
        <v>51</v>
      </c>
      <c r="B49" s="47">
        <v>158</v>
      </c>
      <c r="C49" s="163">
        <v>416000</v>
      </c>
      <c r="D49" s="163"/>
      <c r="E49" s="163"/>
      <c r="F49" s="163"/>
      <c r="G49" s="163">
        <v>19600</v>
      </c>
      <c r="H49" s="163"/>
      <c r="I49" s="51"/>
      <c r="J49" s="163">
        <v>34666</v>
      </c>
      <c r="K49" s="44">
        <f t="shared" si="0"/>
        <v>470266</v>
      </c>
      <c r="L49" s="51"/>
      <c r="M49" s="51">
        <v>2</v>
      </c>
      <c r="N49" s="51">
        <v>3</v>
      </c>
    </row>
    <row r="50" spans="1:14" s="48" customFormat="1" ht="12.75">
      <c r="A50" s="46" t="s">
        <v>75</v>
      </c>
      <c r="B50" s="47">
        <v>159</v>
      </c>
      <c r="C50" s="47">
        <f aca="true" t="shared" si="5" ref="C50:J50">C48+C49</f>
        <v>83899759</v>
      </c>
      <c r="D50" s="47">
        <f t="shared" si="5"/>
        <v>9956574</v>
      </c>
      <c r="E50" s="47">
        <f t="shared" si="5"/>
        <v>13838037</v>
      </c>
      <c r="F50" s="47">
        <f t="shared" si="5"/>
        <v>2118191</v>
      </c>
      <c r="G50" s="47">
        <f t="shared" si="5"/>
        <v>8311370</v>
      </c>
      <c r="H50" s="47">
        <f t="shared" si="5"/>
        <v>0</v>
      </c>
      <c r="I50" s="47">
        <f t="shared" si="5"/>
        <v>0</v>
      </c>
      <c r="J50" s="47">
        <f t="shared" si="5"/>
        <v>9058282</v>
      </c>
      <c r="K50" s="44">
        <f t="shared" si="0"/>
        <v>127182213</v>
      </c>
      <c r="L50" s="47">
        <f>L48+L49</f>
        <v>13611206</v>
      </c>
      <c r="M50" s="47">
        <f>M48+M49</f>
        <v>696</v>
      </c>
      <c r="N50" s="47">
        <f>N48+N49</f>
        <v>793</v>
      </c>
    </row>
    <row r="51" spans="1:13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3"/>
      <c r="L51" s="53"/>
      <c r="M51" s="52"/>
    </row>
    <row r="52" spans="1:13" ht="15" customHeight="1">
      <c r="A52" s="180" t="s">
        <v>163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2"/>
    </row>
    <row r="53" spans="1:13" ht="12.75">
      <c r="A53" s="178" t="s">
        <v>3</v>
      </c>
      <c r="B53" s="136" t="s">
        <v>49</v>
      </c>
      <c r="C53" s="136" t="s">
        <v>4</v>
      </c>
      <c r="D53" s="136" t="s">
        <v>5</v>
      </c>
      <c r="E53" s="136" t="s">
        <v>6</v>
      </c>
      <c r="F53" s="136" t="s">
        <v>80</v>
      </c>
      <c r="G53" s="136" t="s">
        <v>81</v>
      </c>
      <c r="H53" s="136" t="s">
        <v>7</v>
      </c>
      <c r="I53" s="136" t="s">
        <v>42</v>
      </c>
      <c r="J53" s="136" t="s">
        <v>78</v>
      </c>
      <c r="K53" s="137" t="s">
        <v>155</v>
      </c>
      <c r="L53" s="137" t="s">
        <v>157</v>
      </c>
      <c r="M53" s="136" t="s">
        <v>159</v>
      </c>
    </row>
    <row r="54" spans="1:13" ht="12.75">
      <c r="A54" s="179"/>
      <c r="B54" s="54" t="s">
        <v>50</v>
      </c>
      <c r="C54" s="54" t="s">
        <v>9</v>
      </c>
      <c r="D54" s="54" t="s">
        <v>10</v>
      </c>
      <c r="E54" s="54" t="s">
        <v>11</v>
      </c>
      <c r="F54" s="54" t="s">
        <v>10</v>
      </c>
      <c r="G54" s="54" t="s">
        <v>12</v>
      </c>
      <c r="H54" s="54" t="s">
        <v>13</v>
      </c>
      <c r="I54" s="54" t="s">
        <v>43</v>
      </c>
      <c r="J54" s="54" t="s">
        <v>79</v>
      </c>
      <c r="K54" s="55" t="s">
        <v>156</v>
      </c>
      <c r="L54" s="55" t="s">
        <v>158</v>
      </c>
      <c r="M54" s="54" t="s">
        <v>54</v>
      </c>
    </row>
    <row r="55" spans="1:15" ht="12.75">
      <c r="A55" s="56" t="s">
        <v>62</v>
      </c>
      <c r="B55" s="56">
        <v>119</v>
      </c>
      <c r="C55" s="57">
        <v>331823</v>
      </c>
      <c r="D55" s="57">
        <v>26251</v>
      </c>
      <c r="E55" s="57">
        <v>58687</v>
      </c>
      <c r="F55" s="57">
        <v>11566</v>
      </c>
      <c r="G55" s="57"/>
      <c r="H55" s="57"/>
      <c r="I55" s="57"/>
      <c r="J55" s="57"/>
      <c r="K55" s="57">
        <f>SUM(C55:J55)</f>
        <v>428327</v>
      </c>
      <c r="L55" s="57"/>
      <c r="M55" s="58">
        <v>2</v>
      </c>
      <c r="N55" s="59"/>
      <c r="O55" s="45"/>
    </row>
    <row r="56" spans="1:15" ht="12.75">
      <c r="A56" s="60" t="s">
        <v>63</v>
      </c>
      <c r="B56" s="60">
        <f>IF(A56="","",VLOOKUP(A56,$A$12:$B$50,2,FALSE))</f>
        <v>120</v>
      </c>
      <c r="C56" s="61">
        <v>554895</v>
      </c>
      <c r="D56" s="61">
        <v>78403</v>
      </c>
      <c r="E56" s="61">
        <v>74810</v>
      </c>
      <c r="F56" s="61"/>
      <c r="G56" s="61">
        <v>105881</v>
      </c>
      <c r="H56" s="61"/>
      <c r="I56" s="61"/>
      <c r="J56" s="61">
        <v>217868</v>
      </c>
      <c r="K56" s="57">
        <f aca="true" t="shared" si="6" ref="K56:K61">SUM(C56:J56)</f>
        <v>1031857</v>
      </c>
      <c r="L56" s="61">
        <v>161818</v>
      </c>
      <c r="M56" s="62">
        <v>17</v>
      </c>
      <c r="N56" s="59"/>
      <c r="O56" s="45"/>
    </row>
    <row r="57" spans="1:15" ht="12.75">
      <c r="A57" s="60" t="s">
        <v>61</v>
      </c>
      <c r="B57" s="60">
        <f>IF(A57="","",VLOOKUP(A57,$A$12:$B$50,2,FALSE))</f>
        <v>75</v>
      </c>
      <c r="C57" s="61">
        <v>243774</v>
      </c>
      <c r="D57" s="61">
        <v>6046</v>
      </c>
      <c r="E57" s="61">
        <v>18400</v>
      </c>
      <c r="F57" s="61">
        <v>0</v>
      </c>
      <c r="G57" s="61">
        <v>1577</v>
      </c>
      <c r="H57" s="61"/>
      <c r="I57" s="61"/>
      <c r="J57" s="61"/>
      <c r="K57" s="57">
        <f t="shared" si="6"/>
        <v>269797</v>
      </c>
      <c r="L57" s="61">
        <v>203288</v>
      </c>
      <c r="M57" s="62">
        <v>2</v>
      </c>
      <c r="N57" s="59"/>
      <c r="O57" s="45"/>
    </row>
    <row r="58" spans="1:15" ht="12.75">
      <c r="A58" s="56" t="s">
        <v>38</v>
      </c>
      <c r="B58" s="57">
        <f>IF(A58="","",VLOOKUP(A58,'02'!$A$12:$B$50,2,FALSE))</f>
        <v>81</v>
      </c>
      <c r="C58" s="57">
        <v>51429</v>
      </c>
      <c r="D58" s="57"/>
      <c r="E58" s="57"/>
      <c r="F58" s="57"/>
      <c r="G58" s="57"/>
      <c r="H58" s="57"/>
      <c r="I58" s="57"/>
      <c r="J58" s="57"/>
      <c r="K58" s="57">
        <f t="shared" si="6"/>
        <v>51429</v>
      </c>
      <c r="L58" s="61"/>
      <c r="M58" s="58">
        <v>1</v>
      </c>
      <c r="N58" s="59"/>
      <c r="O58" s="45"/>
    </row>
    <row r="59" spans="1:15" ht="12.75">
      <c r="A59" s="60" t="s">
        <v>33</v>
      </c>
      <c r="B59" s="61">
        <f>IF(A59="","",VLOOKUP(A59,'02'!$A$12:$B$50,2,FALSE))</f>
        <v>84</v>
      </c>
      <c r="C59" s="61">
        <v>357239</v>
      </c>
      <c r="D59" s="61"/>
      <c r="E59" s="61"/>
      <c r="F59" s="61"/>
      <c r="G59" s="61"/>
      <c r="H59" s="61"/>
      <c r="I59" s="61"/>
      <c r="J59" s="61"/>
      <c r="K59" s="57">
        <f t="shared" si="6"/>
        <v>357239</v>
      </c>
      <c r="L59" s="61"/>
      <c r="M59" s="62">
        <v>4</v>
      </c>
      <c r="N59" s="59"/>
      <c r="O59" s="45"/>
    </row>
    <row r="60" spans="1:15" ht="12.75">
      <c r="A60" s="60" t="s">
        <v>36</v>
      </c>
      <c r="B60" s="61">
        <f>IF(A60="","",VLOOKUP(A60,'02'!$A$12:$B$50,2,FALSE))</f>
        <v>87</v>
      </c>
      <c r="C60" s="61">
        <v>98214</v>
      </c>
      <c r="D60" s="61"/>
      <c r="E60" s="61"/>
      <c r="F60" s="61"/>
      <c r="G60" s="61"/>
      <c r="H60" s="61"/>
      <c r="I60" s="61"/>
      <c r="J60" s="61"/>
      <c r="K60" s="57">
        <f t="shared" si="6"/>
        <v>98214</v>
      </c>
      <c r="L60" s="61"/>
      <c r="M60" s="62">
        <v>1</v>
      </c>
      <c r="N60" s="59"/>
      <c r="O60" s="45"/>
    </row>
    <row r="61" spans="1:15" ht="12.75">
      <c r="A61" s="60" t="s">
        <v>34</v>
      </c>
      <c r="B61" s="61">
        <f>IF(A61="","",VLOOKUP(A61,'02'!$A$12:$B$50,2,FALSE))</f>
        <v>85</v>
      </c>
      <c r="C61" s="61">
        <v>66511</v>
      </c>
      <c r="D61" s="61"/>
      <c r="E61" s="61"/>
      <c r="F61" s="61">
        <v>9800</v>
      </c>
      <c r="G61" s="61">
        <v>56515</v>
      </c>
      <c r="H61" s="61"/>
      <c r="I61" s="61"/>
      <c r="J61" s="61"/>
      <c r="K61" s="57">
        <f t="shared" si="6"/>
        <v>132826</v>
      </c>
      <c r="L61" s="61"/>
      <c r="M61" s="62">
        <v>1</v>
      </c>
      <c r="N61" s="59"/>
      <c r="O61" s="45"/>
    </row>
    <row r="63" spans="1:5" ht="12.75">
      <c r="A63" s="63" t="s">
        <v>21</v>
      </c>
      <c r="B63" s="175" t="s">
        <v>209</v>
      </c>
      <c r="C63" s="175"/>
      <c r="D63" s="175"/>
      <c r="E63" s="64"/>
    </row>
    <row r="64" spans="10:11" ht="12.75">
      <c r="J64" s="174" t="s">
        <v>211</v>
      </c>
      <c r="K64" s="174"/>
    </row>
    <row r="65" spans="10:11" ht="12.75">
      <c r="J65" s="173" t="s">
        <v>48</v>
      </c>
      <c r="K65" s="173"/>
    </row>
  </sheetData>
  <sheetProtection/>
  <mergeCells count="14">
    <mergeCell ref="M7:M8"/>
    <mergeCell ref="N7:N8"/>
    <mergeCell ref="C7:D7"/>
    <mergeCell ref="M9:N9"/>
    <mergeCell ref="K2:L2"/>
    <mergeCell ref="K3:L3"/>
    <mergeCell ref="F5:M5"/>
    <mergeCell ref="A5:D5"/>
    <mergeCell ref="J65:K65"/>
    <mergeCell ref="J64:K64"/>
    <mergeCell ref="B63:D63"/>
    <mergeCell ref="C10:D10"/>
    <mergeCell ref="A53:A54"/>
    <mergeCell ref="A52:M52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5:A61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7" r:id="rId1"/>
  <headerFooter alignWithMargins="0">
    <oddHeader>&amp;C&amp;"Tahoma,Félkövér"&amp;12&amp;U 10.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69"/>
      <c r="L2" s="170"/>
    </row>
    <row r="3" spans="1:12" ht="12.75">
      <c r="A3" s="3"/>
      <c r="H3" s="4"/>
      <c r="I3" s="4"/>
      <c r="J3" s="5" t="s">
        <v>77</v>
      </c>
      <c r="K3" s="169"/>
      <c r="L3" s="170"/>
    </row>
    <row r="4" ht="18" customHeight="1">
      <c r="A4" s="6"/>
    </row>
    <row r="5" spans="1:13" ht="18">
      <c r="A5" s="172" t="s">
        <v>82</v>
      </c>
      <c r="B5" s="172"/>
      <c r="C5" s="172"/>
      <c r="D5" s="172"/>
      <c r="E5" s="7" t="s">
        <v>83</v>
      </c>
      <c r="F5" s="171" t="s">
        <v>95</v>
      </c>
      <c r="G5" s="171"/>
      <c r="H5" s="171"/>
      <c r="I5" s="171"/>
      <c r="J5" s="171"/>
      <c r="K5" s="171"/>
      <c r="L5" s="171"/>
      <c r="M5" s="17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5" t="s">
        <v>121</v>
      </c>
      <c r="N7" s="196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9" t="s">
        <v>122</v>
      </c>
      <c r="N9" s="190"/>
    </row>
    <row r="10" spans="1:14" ht="13.5" thickBot="1">
      <c r="A10" s="25"/>
      <c r="B10" s="26"/>
      <c r="C10" s="176" t="s">
        <v>101</v>
      </c>
      <c r="D10" s="177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32"/>
      <c r="N10" s="33"/>
    </row>
    <row r="11" spans="1:14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9"/>
    </row>
    <row r="12" spans="1:14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3"/>
      <c r="K12" s="44">
        <f>SUM(C12:J12)</f>
        <v>0</v>
      </c>
      <c r="L12" s="43"/>
      <c r="M12" s="43"/>
      <c r="N12" s="43"/>
    </row>
    <row r="13" spans="1:14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3"/>
      <c r="K13" s="44">
        <f aca="true" t="shared" si="0" ref="K13:K50">SUM(C13:J13)</f>
        <v>0</v>
      </c>
      <c r="L13" s="43"/>
      <c r="M13" s="43"/>
      <c r="N13" s="43"/>
    </row>
    <row r="14" spans="1:14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3"/>
      <c r="K14" s="44">
        <f t="shared" si="0"/>
        <v>0</v>
      </c>
      <c r="L14" s="43"/>
      <c r="M14" s="43"/>
      <c r="N14" s="43"/>
    </row>
    <row r="15" spans="1:14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3"/>
      <c r="K15" s="44">
        <f t="shared" si="0"/>
        <v>0</v>
      </c>
      <c r="L15" s="43"/>
      <c r="M15" s="43"/>
      <c r="N15" s="43"/>
    </row>
    <row r="16" spans="1:14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3"/>
      <c r="K16" s="44">
        <f t="shared" si="0"/>
        <v>0</v>
      </c>
      <c r="L16" s="43"/>
      <c r="M16" s="43"/>
      <c r="N16" s="43"/>
    </row>
    <row r="17" spans="1:14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3"/>
      <c r="K17" s="44">
        <f t="shared" si="0"/>
        <v>0</v>
      </c>
      <c r="L17" s="43"/>
      <c r="M17" s="43"/>
      <c r="N17" s="43"/>
    </row>
    <row r="18" spans="1:14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3"/>
      <c r="K18" s="44">
        <f t="shared" si="0"/>
        <v>0</v>
      </c>
      <c r="L18" s="43"/>
      <c r="M18" s="43"/>
      <c r="N18" s="43"/>
    </row>
    <row r="19" spans="1:14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3"/>
      <c r="K19" s="44">
        <f t="shared" si="0"/>
        <v>0</v>
      </c>
      <c r="L19" s="43"/>
      <c r="M19" s="43"/>
      <c r="N19" s="43"/>
    </row>
    <row r="20" spans="1:14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3"/>
      <c r="K20" s="44">
        <f t="shared" si="0"/>
        <v>0</v>
      </c>
      <c r="L20" s="43"/>
      <c r="M20" s="43"/>
      <c r="N20" s="43"/>
    </row>
    <row r="21" spans="1:14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3"/>
      <c r="K21" s="44">
        <f t="shared" si="0"/>
        <v>0</v>
      </c>
      <c r="L21" s="43"/>
      <c r="M21" s="43"/>
      <c r="N21" s="43"/>
    </row>
    <row r="22" spans="1:21" s="45" customFormat="1" ht="12.75" customHeight="1">
      <c r="A22" s="41" t="s">
        <v>38</v>
      </c>
      <c r="B22" s="42">
        <v>81</v>
      </c>
      <c r="C22" s="43"/>
      <c r="D22" s="43"/>
      <c r="E22" s="43"/>
      <c r="F22" s="43"/>
      <c r="G22" s="43"/>
      <c r="H22" s="43"/>
      <c r="I22" s="43"/>
      <c r="J22" s="43"/>
      <c r="K22" s="44">
        <f t="shared" si="0"/>
        <v>0</v>
      </c>
      <c r="L22" s="43"/>
      <c r="M22" s="43"/>
      <c r="N22" s="43"/>
      <c r="O22" s="2"/>
      <c r="P22" s="2"/>
      <c r="Q22" s="2"/>
      <c r="R22" s="2"/>
      <c r="S22" s="2"/>
      <c r="T22" s="2"/>
      <c r="U22" s="2"/>
    </row>
    <row r="23" spans="1:14" ht="12.75">
      <c r="A23" s="41" t="s">
        <v>39</v>
      </c>
      <c r="B23" s="42">
        <v>82</v>
      </c>
      <c r="C23" s="43"/>
      <c r="D23" s="43"/>
      <c r="E23" s="43"/>
      <c r="F23" s="43"/>
      <c r="G23" s="43"/>
      <c r="H23" s="43"/>
      <c r="I23" s="43"/>
      <c r="J23" s="43"/>
      <c r="K23" s="44">
        <f t="shared" si="0"/>
        <v>0</v>
      </c>
      <c r="L23" s="43"/>
      <c r="M23" s="43"/>
      <c r="N23" s="43"/>
    </row>
    <row r="24" spans="1:14" ht="12.75">
      <c r="A24" s="41" t="s">
        <v>32</v>
      </c>
      <c r="B24" s="42">
        <v>83</v>
      </c>
      <c r="C24" s="43"/>
      <c r="D24" s="43"/>
      <c r="E24" s="43"/>
      <c r="F24" s="43"/>
      <c r="G24" s="43"/>
      <c r="H24" s="43"/>
      <c r="I24" s="43"/>
      <c r="J24" s="43"/>
      <c r="K24" s="44">
        <f t="shared" si="0"/>
        <v>0</v>
      </c>
      <c r="L24" s="43"/>
      <c r="M24" s="43"/>
      <c r="N24" s="43"/>
    </row>
    <row r="25" spans="1:14" ht="12.75">
      <c r="A25" s="41" t="s">
        <v>33</v>
      </c>
      <c r="B25" s="42">
        <v>84</v>
      </c>
      <c r="C25" s="43"/>
      <c r="D25" s="43"/>
      <c r="E25" s="43"/>
      <c r="F25" s="43"/>
      <c r="G25" s="43"/>
      <c r="H25" s="43"/>
      <c r="I25" s="43"/>
      <c r="J25" s="43"/>
      <c r="K25" s="44">
        <f t="shared" si="0"/>
        <v>0</v>
      </c>
      <c r="L25" s="43"/>
      <c r="M25" s="43"/>
      <c r="N25" s="43"/>
    </row>
    <row r="26" spans="1:14" ht="12.75">
      <c r="A26" s="41" t="s">
        <v>34</v>
      </c>
      <c r="B26" s="42">
        <v>85</v>
      </c>
      <c r="C26" s="43"/>
      <c r="D26" s="43"/>
      <c r="E26" s="43"/>
      <c r="F26" s="43"/>
      <c r="G26" s="43"/>
      <c r="H26" s="43"/>
      <c r="I26" s="43"/>
      <c r="J26" s="43"/>
      <c r="K26" s="44">
        <f t="shared" si="0"/>
        <v>0</v>
      </c>
      <c r="L26" s="43"/>
      <c r="M26" s="43"/>
      <c r="N26" s="43"/>
    </row>
    <row r="27" spans="1:14" ht="12.75">
      <c r="A27" s="41" t="s">
        <v>35</v>
      </c>
      <c r="B27" s="42">
        <v>86</v>
      </c>
      <c r="C27" s="43"/>
      <c r="D27" s="43"/>
      <c r="E27" s="43"/>
      <c r="F27" s="43"/>
      <c r="G27" s="43"/>
      <c r="H27" s="43"/>
      <c r="I27" s="43"/>
      <c r="J27" s="43"/>
      <c r="K27" s="44">
        <f t="shared" si="0"/>
        <v>0</v>
      </c>
      <c r="L27" s="43"/>
      <c r="M27" s="43"/>
      <c r="N27" s="43"/>
    </row>
    <row r="28" spans="1:14" ht="12.75">
      <c r="A28" s="41" t="s">
        <v>36</v>
      </c>
      <c r="B28" s="42">
        <v>87</v>
      </c>
      <c r="C28" s="43"/>
      <c r="D28" s="43"/>
      <c r="E28" s="43"/>
      <c r="F28" s="43"/>
      <c r="G28" s="43"/>
      <c r="H28" s="43"/>
      <c r="I28" s="43"/>
      <c r="J28" s="43"/>
      <c r="K28" s="44">
        <f t="shared" si="0"/>
        <v>0</v>
      </c>
      <c r="L28" s="43"/>
      <c r="M28" s="43"/>
      <c r="N28" s="43"/>
    </row>
    <row r="29" spans="1:14" ht="12.75">
      <c r="A29" s="41" t="s">
        <v>37</v>
      </c>
      <c r="B29" s="42">
        <v>88</v>
      </c>
      <c r="C29" s="43"/>
      <c r="D29" s="43"/>
      <c r="E29" s="43"/>
      <c r="F29" s="43"/>
      <c r="G29" s="43"/>
      <c r="H29" s="43"/>
      <c r="I29" s="43"/>
      <c r="J29" s="43"/>
      <c r="K29" s="44">
        <f t="shared" si="0"/>
        <v>0</v>
      </c>
      <c r="L29" s="43"/>
      <c r="M29" s="43"/>
      <c r="N29" s="43"/>
    </row>
    <row r="30" spans="1:14" ht="12.75">
      <c r="A30" s="41" t="s">
        <v>40</v>
      </c>
      <c r="B30" s="42">
        <v>89</v>
      </c>
      <c r="C30" s="43"/>
      <c r="D30" s="43"/>
      <c r="E30" s="43"/>
      <c r="F30" s="43"/>
      <c r="G30" s="43"/>
      <c r="H30" s="43"/>
      <c r="I30" s="43"/>
      <c r="J30" s="43"/>
      <c r="K30" s="44">
        <f t="shared" si="0"/>
        <v>0</v>
      </c>
      <c r="L30" s="43"/>
      <c r="M30" s="43"/>
      <c r="N30" s="43"/>
    </row>
    <row r="31" spans="1:14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3"/>
      <c r="K31" s="44">
        <f t="shared" si="0"/>
        <v>0</v>
      </c>
      <c r="L31" s="43"/>
      <c r="M31" s="43"/>
      <c r="N31" s="43"/>
    </row>
    <row r="32" spans="1:14" s="48" customFormat="1" ht="12.75">
      <c r="A32" s="46" t="s">
        <v>73</v>
      </c>
      <c r="B32" s="42">
        <v>92</v>
      </c>
      <c r="C32" s="47">
        <f>SUM(C12:C31)</f>
        <v>0</v>
      </c>
      <c r="D32" s="47">
        <f aca="true" t="shared" si="1" ref="D32:J32">SUM(D12:D31)</f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7">
        <f t="shared" si="1"/>
        <v>0</v>
      </c>
      <c r="K32" s="44">
        <f t="shared" si="0"/>
        <v>0</v>
      </c>
      <c r="L32" s="47">
        <f>SUM(L12:L31)</f>
        <v>0</v>
      </c>
      <c r="M32" s="47">
        <f>SUM(M12:M31)</f>
        <v>0</v>
      </c>
      <c r="N32" s="47">
        <f>SUM(N12:N31)</f>
        <v>0</v>
      </c>
    </row>
    <row r="33" spans="1:14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3"/>
      <c r="K33" s="44">
        <f t="shared" si="0"/>
        <v>0</v>
      </c>
      <c r="L33" s="43"/>
      <c r="M33" s="43"/>
      <c r="N33" s="43"/>
    </row>
    <row r="34" spans="1:14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3"/>
      <c r="K34" s="44">
        <f t="shared" si="0"/>
        <v>0</v>
      </c>
      <c r="L34" s="43"/>
      <c r="M34" s="43"/>
      <c r="N34" s="43"/>
    </row>
    <row r="35" spans="1:14" s="48" customFormat="1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3"/>
      <c r="K35" s="44">
        <f t="shared" si="0"/>
        <v>0</v>
      </c>
      <c r="L35" s="43"/>
      <c r="M35" s="43"/>
      <c r="N35" s="43"/>
    </row>
    <row r="36" spans="1:14" s="48" customFormat="1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3"/>
      <c r="K36" s="44">
        <f t="shared" si="0"/>
        <v>0</v>
      </c>
      <c r="L36" s="43"/>
      <c r="M36" s="43"/>
      <c r="N36" s="43"/>
    </row>
    <row r="37" spans="1:14" s="48" customFormat="1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3"/>
      <c r="K37" s="44">
        <f t="shared" si="0"/>
        <v>0</v>
      </c>
      <c r="L37" s="43"/>
      <c r="M37" s="43"/>
      <c r="N37" s="43"/>
    </row>
    <row r="38" spans="1:14" s="112" customFormat="1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3"/>
      <c r="K38" s="44">
        <f t="shared" si="0"/>
        <v>0</v>
      </c>
      <c r="L38" s="43"/>
      <c r="M38" s="43"/>
      <c r="N38" s="43"/>
    </row>
    <row r="39" spans="1:14" ht="12.75">
      <c r="A39" s="46" t="s">
        <v>72</v>
      </c>
      <c r="B39" s="42">
        <v>110</v>
      </c>
      <c r="C39" s="47">
        <f>SUM(C33:C38)</f>
        <v>0</v>
      </c>
      <c r="D39" s="47">
        <f aca="true" t="shared" si="2" ref="D39:J39"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44">
        <f t="shared" si="0"/>
        <v>0</v>
      </c>
      <c r="L39" s="47">
        <f>SUM(L33:L38)</f>
        <v>0</v>
      </c>
      <c r="M39" s="47">
        <f>SUM(M33:M38)</f>
        <v>0</v>
      </c>
      <c r="N39" s="47">
        <f>SUM(N33:N38)</f>
        <v>0</v>
      </c>
    </row>
    <row r="40" spans="1:14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3"/>
      <c r="K40" s="44">
        <f t="shared" si="0"/>
        <v>0</v>
      </c>
      <c r="L40" s="43"/>
      <c r="M40" s="43"/>
      <c r="N40" s="43"/>
    </row>
    <row r="41" spans="1:14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3"/>
      <c r="K41" s="44">
        <f t="shared" si="0"/>
        <v>0</v>
      </c>
      <c r="L41" s="43"/>
      <c r="M41" s="43"/>
      <c r="N41" s="43"/>
    </row>
    <row r="42" spans="1:14" ht="12.75">
      <c r="A42" s="50" t="s">
        <v>59</v>
      </c>
      <c r="B42" s="42">
        <v>113</v>
      </c>
      <c r="C42" s="43"/>
      <c r="D42" s="43"/>
      <c r="E42" s="43"/>
      <c r="F42" s="43"/>
      <c r="G42" s="43"/>
      <c r="H42" s="43"/>
      <c r="I42" s="43"/>
      <c r="J42" s="43"/>
      <c r="K42" s="44">
        <f t="shared" si="0"/>
        <v>0</v>
      </c>
      <c r="L42" s="43"/>
      <c r="M42" s="43"/>
      <c r="N42" s="43"/>
    </row>
    <row r="43" spans="1:14" ht="12.75">
      <c r="A43" s="50" t="s">
        <v>60</v>
      </c>
      <c r="B43" s="42">
        <v>114</v>
      </c>
      <c r="C43" s="43"/>
      <c r="D43" s="43"/>
      <c r="E43" s="43"/>
      <c r="F43" s="43"/>
      <c r="G43" s="43"/>
      <c r="H43" s="43"/>
      <c r="I43" s="43"/>
      <c r="J43" s="43"/>
      <c r="K43" s="44">
        <f t="shared" si="0"/>
        <v>0</v>
      </c>
      <c r="L43" s="43"/>
      <c r="M43" s="43"/>
      <c r="N43" s="43"/>
    </row>
    <row r="44" spans="1:14" ht="12.75">
      <c r="A44" s="50" t="s">
        <v>61</v>
      </c>
      <c r="B44" s="42">
        <v>115</v>
      </c>
      <c r="C44" s="43"/>
      <c r="D44" s="43"/>
      <c r="E44" s="43"/>
      <c r="F44" s="43"/>
      <c r="G44" s="43"/>
      <c r="H44" s="43"/>
      <c r="I44" s="43"/>
      <c r="J44" s="43"/>
      <c r="K44" s="44">
        <f t="shared" si="0"/>
        <v>0</v>
      </c>
      <c r="L44" s="43"/>
      <c r="M44" s="43"/>
      <c r="N44" s="43"/>
    </row>
    <row r="45" spans="1:14" ht="12.75">
      <c r="A45" s="50" t="s">
        <v>62</v>
      </c>
      <c r="B45" s="42">
        <v>119</v>
      </c>
      <c r="C45" s="43"/>
      <c r="D45" s="43"/>
      <c r="E45" s="43"/>
      <c r="F45" s="43"/>
      <c r="G45" s="43"/>
      <c r="H45" s="43"/>
      <c r="I45" s="43"/>
      <c r="J45" s="43"/>
      <c r="K45" s="44">
        <f t="shared" si="0"/>
        <v>0</v>
      </c>
      <c r="L45" s="43"/>
      <c r="M45" s="43"/>
      <c r="N45" s="43"/>
    </row>
    <row r="46" spans="1:14" ht="12.75">
      <c r="A46" s="50" t="s">
        <v>63</v>
      </c>
      <c r="B46" s="42">
        <v>120</v>
      </c>
      <c r="C46" s="43"/>
      <c r="D46" s="43"/>
      <c r="E46" s="43"/>
      <c r="F46" s="43"/>
      <c r="G46" s="43"/>
      <c r="H46" s="43"/>
      <c r="I46" s="43"/>
      <c r="J46" s="43"/>
      <c r="K46" s="44">
        <f t="shared" si="0"/>
        <v>0</v>
      </c>
      <c r="L46" s="43"/>
      <c r="M46" s="43"/>
      <c r="N46" s="43"/>
    </row>
    <row r="47" spans="1:14" ht="12.75">
      <c r="A47" s="46" t="s">
        <v>74</v>
      </c>
      <c r="B47" s="47">
        <v>121</v>
      </c>
      <c r="C47" s="47">
        <f>SUM(C40:C46)</f>
        <v>0</v>
      </c>
      <c r="D47" s="47">
        <f aca="true" t="shared" si="3" ref="D47:J47">SUM(D40:D46)</f>
        <v>0</v>
      </c>
      <c r="E47" s="47">
        <f t="shared" si="3"/>
        <v>0</v>
      </c>
      <c r="F47" s="47">
        <f t="shared" si="3"/>
        <v>0</v>
      </c>
      <c r="G47" s="47">
        <f t="shared" si="3"/>
        <v>0</v>
      </c>
      <c r="H47" s="47">
        <f t="shared" si="3"/>
        <v>0</v>
      </c>
      <c r="I47" s="47">
        <f t="shared" si="3"/>
        <v>0</v>
      </c>
      <c r="J47" s="47">
        <f t="shared" si="3"/>
        <v>0</v>
      </c>
      <c r="K47" s="44">
        <f t="shared" si="0"/>
        <v>0</v>
      </c>
      <c r="L47" s="47">
        <f>SUM(L40:L46)</f>
        <v>0</v>
      </c>
      <c r="M47" s="47">
        <f>SUM(M40:M46)</f>
        <v>0</v>
      </c>
      <c r="N47" s="47">
        <f>SUM(N40:N46)</f>
        <v>0</v>
      </c>
    </row>
    <row r="48" spans="1:14" ht="12.75">
      <c r="A48" s="46" t="s">
        <v>119</v>
      </c>
      <c r="B48" s="47">
        <v>152</v>
      </c>
      <c r="C48" s="47">
        <f>C32+C39+C47</f>
        <v>0</v>
      </c>
      <c r="D48" s="47">
        <f aca="true" t="shared" si="4" ref="D48:J48">D32+D39+D47</f>
        <v>0</v>
      </c>
      <c r="E48" s="47">
        <f t="shared" si="4"/>
        <v>0</v>
      </c>
      <c r="F48" s="47">
        <f t="shared" si="4"/>
        <v>0</v>
      </c>
      <c r="G48" s="47">
        <f t="shared" si="4"/>
        <v>0</v>
      </c>
      <c r="H48" s="47">
        <f t="shared" si="4"/>
        <v>0</v>
      </c>
      <c r="I48" s="47">
        <f t="shared" si="4"/>
        <v>0</v>
      </c>
      <c r="J48" s="47">
        <f t="shared" si="4"/>
        <v>0</v>
      </c>
      <c r="K48" s="44">
        <f t="shared" si="0"/>
        <v>0</v>
      </c>
      <c r="L48" s="47">
        <f>L32+L39+L47</f>
        <v>0</v>
      </c>
      <c r="M48" s="47">
        <f>M32+M39+M47</f>
        <v>0</v>
      </c>
      <c r="N48" s="47">
        <f>N32+N39+N47</f>
        <v>0</v>
      </c>
    </row>
    <row r="49" spans="1:14" ht="12.75">
      <c r="A49" s="46" t="s">
        <v>51</v>
      </c>
      <c r="B49" s="47">
        <v>158</v>
      </c>
      <c r="C49" s="51"/>
      <c r="D49" s="51"/>
      <c r="E49" s="51"/>
      <c r="F49" s="51"/>
      <c r="G49" s="51"/>
      <c r="H49" s="51"/>
      <c r="I49" s="51"/>
      <c r="J49" s="51"/>
      <c r="K49" s="44">
        <f t="shared" si="0"/>
        <v>0</v>
      </c>
      <c r="L49" s="51"/>
      <c r="M49" s="51"/>
      <c r="N49" s="51"/>
    </row>
    <row r="50" spans="1:14" ht="12.75">
      <c r="A50" s="46" t="s">
        <v>75</v>
      </c>
      <c r="B50" s="47">
        <v>159</v>
      </c>
      <c r="C50" s="47">
        <f>C48+C49</f>
        <v>0</v>
      </c>
      <c r="D50" s="47">
        <f aca="true" t="shared" si="5" ref="D50:J50">D48+D49</f>
        <v>0</v>
      </c>
      <c r="E50" s="47">
        <f t="shared" si="5"/>
        <v>0</v>
      </c>
      <c r="F50" s="47">
        <f t="shared" si="5"/>
        <v>0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7">
        <f t="shared" si="5"/>
        <v>0</v>
      </c>
      <c r="K50" s="44">
        <f t="shared" si="0"/>
        <v>0</v>
      </c>
      <c r="L50" s="47">
        <f>L48+L49</f>
        <v>0</v>
      </c>
      <c r="M50" s="47">
        <f>M48+M49</f>
        <v>0</v>
      </c>
      <c r="N50" s="47">
        <f>N48+N49</f>
        <v>0</v>
      </c>
    </row>
    <row r="51" spans="1:14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5"/>
      <c r="L51" s="114"/>
      <c r="M51" s="114"/>
      <c r="N51" s="116"/>
    </row>
    <row r="52" spans="1:14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7"/>
      <c r="N52" s="116"/>
    </row>
    <row r="53" spans="1:14" ht="12.75">
      <c r="A53" s="178" t="s">
        <v>3</v>
      </c>
      <c r="B53" s="136" t="s">
        <v>49</v>
      </c>
      <c r="C53" s="137" t="s">
        <v>4</v>
      </c>
      <c r="D53" s="137" t="s">
        <v>5</v>
      </c>
      <c r="E53" s="137" t="s">
        <v>6</v>
      </c>
      <c r="F53" s="137" t="s">
        <v>80</v>
      </c>
      <c r="G53" s="137" t="s">
        <v>81</v>
      </c>
      <c r="H53" s="137" t="s">
        <v>7</v>
      </c>
      <c r="I53" s="137" t="s">
        <v>42</v>
      </c>
      <c r="J53" s="137" t="s">
        <v>78</v>
      </c>
      <c r="K53" s="138" t="s">
        <v>155</v>
      </c>
      <c r="L53" s="137" t="s">
        <v>157</v>
      </c>
      <c r="M53" s="137" t="s">
        <v>159</v>
      </c>
      <c r="N53" s="116"/>
    </row>
    <row r="54" spans="1:14" ht="12.75">
      <c r="A54" s="179"/>
      <c r="B54" s="54" t="s">
        <v>50</v>
      </c>
      <c r="C54" s="55" t="s">
        <v>9</v>
      </c>
      <c r="D54" s="55" t="s">
        <v>10</v>
      </c>
      <c r="E54" s="55" t="s">
        <v>11</v>
      </c>
      <c r="F54" s="55" t="s">
        <v>10</v>
      </c>
      <c r="G54" s="55" t="s">
        <v>12</v>
      </c>
      <c r="H54" s="55" t="s">
        <v>13</v>
      </c>
      <c r="I54" s="55" t="s">
        <v>43</v>
      </c>
      <c r="J54" s="55" t="s">
        <v>79</v>
      </c>
      <c r="K54" s="117" t="s">
        <v>156</v>
      </c>
      <c r="L54" s="55" t="s">
        <v>158</v>
      </c>
      <c r="M54" s="55" t="s">
        <v>54</v>
      </c>
      <c r="N54" s="116"/>
    </row>
    <row r="55" spans="1:15" ht="12.75">
      <c r="A55" s="56"/>
      <c r="B55" s="57">
        <f>IF(A55="","",VLOOKUP(A55,$A$12:$B$50,2,FALSE))</f>
      </c>
      <c r="C55" s="57"/>
      <c r="D55" s="57"/>
      <c r="E55" s="57"/>
      <c r="F55" s="57"/>
      <c r="G55" s="57"/>
      <c r="H55" s="57"/>
      <c r="I55" s="57"/>
      <c r="J55" s="57"/>
      <c r="K55" s="118"/>
      <c r="L55" s="57"/>
      <c r="M55" s="58"/>
      <c r="N55" s="119"/>
      <c r="O55" s="45"/>
    </row>
    <row r="56" spans="1:15" ht="12.75">
      <c r="A56" s="60"/>
      <c r="B56" s="61">
        <f>IF(A56="","",VLOOKUP(A56,$A$12:$B$50,2,FALSE))</f>
      </c>
      <c r="C56" s="61"/>
      <c r="D56" s="61"/>
      <c r="E56" s="61"/>
      <c r="F56" s="61"/>
      <c r="G56" s="61"/>
      <c r="H56" s="61"/>
      <c r="I56" s="61"/>
      <c r="J56" s="61"/>
      <c r="K56" s="120"/>
      <c r="L56" s="61"/>
      <c r="M56" s="62"/>
      <c r="N56" s="119"/>
      <c r="O56" s="45"/>
    </row>
    <row r="57" spans="1:15" ht="12.75">
      <c r="A57" s="60"/>
      <c r="B57" s="61">
        <f>IF(A57="","",VLOOKUP(A57,$A$12:$B$50,2,FALSE))</f>
      </c>
      <c r="C57" s="61"/>
      <c r="D57" s="61"/>
      <c r="E57" s="61"/>
      <c r="F57" s="61"/>
      <c r="G57" s="61"/>
      <c r="H57" s="61"/>
      <c r="I57" s="61"/>
      <c r="J57" s="61"/>
      <c r="K57" s="120"/>
      <c r="L57" s="61"/>
      <c r="M57" s="62"/>
      <c r="N57" s="119"/>
      <c r="O57" s="45"/>
    </row>
    <row r="58" spans="1:15" ht="12.75">
      <c r="A58" s="60"/>
      <c r="B58" s="61">
        <f>IF(A58="","",VLOOKUP(A58,$A$12:$B$50,2,FALSE))</f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2"/>
      <c r="N58" s="59"/>
      <c r="O58" s="45"/>
    </row>
    <row r="60" spans="1:5" ht="12.75">
      <c r="A60" s="63" t="s">
        <v>21</v>
      </c>
      <c r="B60" s="175"/>
      <c r="C60" s="175"/>
      <c r="D60" s="175"/>
      <c r="E60" s="64"/>
    </row>
    <row r="61" spans="10:11" ht="12.75">
      <c r="J61" s="174"/>
      <c r="K61" s="174"/>
    </row>
    <row r="62" spans="10:11" ht="12.75">
      <c r="J62" s="173" t="s">
        <v>48</v>
      </c>
      <c r="K62" s="173"/>
    </row>
  </sheetData>
  <sheetProtection/>
  <mergeCells count="14">
    <mergeCell ref="A53:A54"/>
    <mergeCell ref="A52:M52"/>
    <mergeCell ref="K3:L3"/>
    <mergeCell ref="K2:L2"/>
    <mergeCell ref="B60:D60"/>
    <mergeCell ref="J61:K61"/>
    <mergeCell ref="J62:K62"/>
    <mergeCell ref="F5:M5"/>
    <mergeCell ref="A5:D5"/>
    <mergeCell ref="C10:D10"/>
    <mergeCell ref="M9:N9"/>
    <mergeCell ref="M7:M8"/>
    <mergeCell ref="N7:N8"/>
    <mergeCell ref="C7:D7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9" ht="12.75">
      <c r="A2" s="3" t="s">
        <v>71</v>
      </c>
      <c r="G2" s="5" t="s">
        <v>0</v>
      </c>
      <c r="H2" s="169"/>
      <c r="I2" s="170"/>
    </row>
    <row r="3" spans="1:9" ht="12.75">
      <c r="A3" s="3"/>
      <c r="G3" s="5" t="s">
        <v>77</v>
      </c>
      <c r="H3" s="169"/>
      <c r="I3" s="170"/>
    </row>
    <row r="4" ht="18" customHeight="1">
      <c r="A4" s="6"/>
    </row>
    <row r="5" spans="1:10" ht="18">
      <c r="A5" s="172" t="s">
        <v>85</v>
      </c>
      <c r="B5" s="172"/>
      <c r="C5" s="172"/>
      <c r="D5" s="172"/>
      <c r="E5" s="172"/>
      <c r="F5" s="7" t="s">
        <v>83</v>
      </c>
      <c r="G5" s="171" t="s">
        <v>172</v>
      </c>
      <c r="H5" s="171"/>
      <c r="I5" s="171"/>
      <c r="J5" s="17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21" t="s">
        <v>115</v>
      </c>
      <c r="E7" s="121"/>
      <c r="F7" s="16" t="s">
        <v>107</v>
      </c>
      <c r="G7" s="16" t="s">
        <v>110</v>
      </c>
      <c r="H7" s="16" t="s">
        <v>112</v>
      </c>
      <c r="I7" s="16" t="s">
        <v>112</v>
      </c>
      <c r="J7" s="122" t="s">
        <v>112</v>
      </c>
    </row>
    <row r="8" spans="1:10" ht="12.75">
      <c r="A8" s="123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4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4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7" t="s">
        <v>181</v>
      </c>
      <c r="G10" s="27" t="s">
        <v>183</v>
      </c>
      <c r="H10" s="27" t="s">
        <v>187</v>
      </c>
      <c r="I10" s="27" t="s">
        <v>184</v>
      </c>
      <c r="J10" s="146" t="s">
        <v>182</v>
      </c>
    </row>
    <row r="11" spans="1:10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125"/>
    </row>
    <row r="12" spans="1:15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4">
        <f>SUM(C12:I12)</f>
        <v>0</v>
      </c>
      <c r="K12" s="64"/>
      <c r="L12" s="64"/>
      <c r="M12" s="64"/>
      <c r="N12" s="64"/>
      <c r="O12" s="64"/>
    </row>
    <row r="13" spans="1:15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4">
        <f aca="true" t="shared" si="0" ref="J13:J50">SUM(C13:I13)</f>
        <v>0</v>
      </c>
      <c r="K13" s="64"/>
      <c r="L13" s="64"/>
      <c r="M13" s="64"/>
      <c r="N13" s="64"/>
      <c r="O13" s="64"/>
    </row>
    <row r="14" spans="1:15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4">
        <f t="shared" si="0"/>
        <v>0</v>
      </c>
      <c r="K14" s="64"/>
      <c r="L14" s="64"/>
      <c r="M14" s="64"/>
      <c r="N14" s="64"/>
      <c r="O14" s="64"/>
    </row>
    <row r="15" spans="1:15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4">
        <f t="shared" si="0"/>
        <v>0</v>
      </c>
      <c r="K15" s="64"/>
      <c r="L15" s="64"/>
      <c r="M15" s="64"/>
      <c r="N15" s="64"/>
      <c r="O15" s="64"/>
    </row>
    <row r="16" spans="1:15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4">
        <f t="shared" si="0"/>
        <v>0</v>
      </c>
      <c r="K16" s="64"/>
      <c r="L16" s="64"/>
      <c r="M16" s="64"/>
      <c r="N16" s="64"/>
      <c r="O16" s="64"/>
    </row>
    <row r="17" spans="1:15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4">
        <f t="shared" si="0"/>
        <v>0</v>
      </c>
      <c r="K17" s="64"/>
      <c r="L17" s="64"/>
      <c r="M17" s="64"/>
      <c r="N17" s="64"/>
      <c r="O17" s="64"/>
    </row>
    <row r="18" spans="1:15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4">
        <f t="shared" si="0"/>
        <v>0</v>
      </c>
      <c r="K18" s="64"/>
      <c r="L18" s="64"/>
      <c r="M18" s="64"/>
      <c r="N18" s="64"/>
      <c r="O18" s="64"/>
    </row>
    <row r="19" spans="1:15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4">
        <f t="shared" si="0"/>
        <v>0</v>
      </c>
      <c r="K19" s="64"/>
      <c r="L19" s="64"/>
      <c r="M19" s="64"/>
      <c r="N19" s="64"/>
      <c r="O19" s="64"/>
    </row>
    <row r="20" spans="1:15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4">
        <f t="shared" si="0"/>
        <v>0</v>
      </c>
      <c r="K20" s="64"/>
      <c r="L20" s="64"/>
      <c r="M20" s="64"/>
      <c r="N20" s="64"/>
      <c r="O20" s="64"/>
    </row>
    <row r="21" spans="1:15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4">
        <f t="shared" si="0"/>
        <v>0</v>
      </c>
      <c r="K21" s="64"/>
      <c r="L21" s="64"/>
      <c r="M21" s="64"/>
      <c r="N21" s="64"/>
      <c r="O21" s="64"/>
    </row>
    <row r="22" spans="1:18" s="45" customFormat="1" ht="12.75" customHeight="1">
      <c r="A22" s="41" t="s">
        <v>38</v>
      </c>
      <c r="B22" s="42">
        <v>81</v>
      </c>
      <c r="C22" s="43"/>
      <c r="D22" s="43"/>
      <c r="E22" s="43"/>
      <c r="F22" s="43"/>
      <c r="G22" s="43"/>
      <c r="H22" s="43"/>
      <c r="I22" s="43"/>
      <c r="J22" s="44">
        <f t="shared" si="0"/>
        <v>0</v>
      </c>
      <c r="K22" s="64"/>
      <c r="L22" s="64"/>
      <c r="M22" s="64"/>
      <c r="N22" s="64"/>
      <c r="O22" s="64"/>
      <c r="P22" s="2"/>
      <c r="Q22" s="2"/>
      <c r="R22" s="2"/>
    </row>
    <row r="23" spans="1:15" ht="12.75">
      <c r="A23" s="41" t="s">
        <v>39</v>
      </c>
      <c r="B23" s="42">
        <v>82</v>
      </c>
      <c r="C23" s="43"/>
      <c r="D23" s="43"/>
      <c r="E23" s="43"/>
      <c r="F23" s="43"/>
      <c r="G23" s="43"/>
      <c r="H23" s="43"/>
      <c r="I23" s="43"/>
      <c r="J23" s="44">
        <f t="shared" si="0"/>
        <v>0</v>
      </c>
      <c r="K23" s="64"/>
      <c r="L23" s="64"/>
      <c r="M23" s="64"/>
      <c r="N23" s="64"/>
      <c r="O23" s="64"/>
    </row>
    <row r="24" spans="1:15" ht="12.75">
      <c r="A24" s="41" t="s">
        <v>32</v>
      </c>
      <c r="B24" s="42">
        <v>83</v>
      </c>
      <c r="C24" s="43"/>
      <c r="D24" s="43"/>
      <c r="E24" s="43"/>
      <c r="F24" s="43"/>
      <c r="G24" s="43"/>
      <c r="H24" s="43"/>
      <c r="I24" s="43"/>
      <c r="J24" s="44">
        <f t="shared" si="0"/>
        <v>0</v>
      </c>
      <c r="K24" s="64"/>
      <c r="L24" s="64"/>
      <c r="M24" s="64"/>
      <c r="N24" s="64"/>
      <c r="O24" s="64"/>
    </row>
    <row r="25" spans="1:15" ht="12.75">
      <c r="A25" s="41" t="s">
        <v>33</v>
      </c>
      <c r="B25" s="42">
        <v>84</v>
      </c>
      <c r="C25" s="43"/>
      <c r="D25" s="43"/>
      <c r="E25" s="43"/>
      <c r="F25" s="43"/>
      <c r="G25" s="43"/>
      <c r="H25" s="43"/>
      <c r="I25" s="43"/>
      <c r="J25" s="44">
        <f t="shared" si="0"/>
        <v>0</v>
      </c>
      <c r="K25" s="64"/>
      <c r="L25" s="64"/>
      <c r="M25" s="64"/>
      <c r="N25" s="64"/>
      <c r="O25" s="64"/>
    </row>
    <row r="26" spans="1:15" ht="12.75">
      <c r="A26" s="41" t="s">
        <v>34</v>
      </c>
      <c r="B26" s="42">
        <v>85</v>
      </c>
      <c r="C26" s="43"/>
      <c r="D26" s="43"/>
      <c r="E26" s="43"/>
      <c r="F26" s="43"/>
      <c r="G26" s="43"/>
      <c r="H26" s="43"/>
      <c r="I26" s="43"/>
      <c r="J26" s="44">
        <f t="shared" si="0"/>
        <v>0</v>
      </c>
      <c r="K26" s="64"/>
      <c r="L26" s="64"/>
      <c r="M26" s="64"/>
      <c r="N26" s="64"/>
      <c r="O26" s="64"/>
    </row>
    <row r="27" spans="1:15" ht="12.75">
      <c r="A27" s="41" t="s">
        <v>35</v>
      </c>
      <c r="B27" s="42">
        <v>86</v>
      </c>
      <c r="C27" s="43"/>
      <c r="D27" s="43"/>
      <c r="E27" s="43"/>
      <c r="F27" s="43"/>
      <c r="G27" s="43"/>
      <c r="H27" s="43"/>
      <c r="I27" s="43"/>
      <c r="J27" s="44">
        <f t="shared" si="0"/>
        <v>0</v>
      </c>
      <c r="K27" s="64"/>
      <c r="L27" s="64"/>
      <c r="M27" s="64"/>
      <c r="N27" s="64"/>
      <c r="O27" s="64"/>
    </row>
    <row r="28" spans="1:15" ht="12.75">
      <c r="A28" s="41" t="s">
        <v>36</v>
      </c>
      <c r="B28" s="42">
        <v>87</v>
      </c>
      <c r="C28" s="43"/>
      <c r="D28" s="43"/>
      <c r="E28" s="43"/>
      <c r="F28" s="43"/>
      <c r="G28" s="43"/>
      <c r="H28" s="43"/>
      <c r="I28" s="43"/>
      <c r="J28" s="44">
        <f t="shared" si="0"/>
        <v>0</v>
      </c>
      <c r="K28" s="64"/>
      <c r="L28" s="64"/>
      <c r="M28" s="64"/>
      <c r="N28" s="64"/>
      <c r="O28" s="64"/>
    </row>
    <row r="29" spans="1:15" ht="12.75">
      <c r="A29" s="41" t="s">
        <v>37</v>
      </c>
      <c r="B29" s="42">
        <v>88</v>
      </c>
      <c r="C29" s="43"/>
      <c r="D29" s="43"/>
      <c r="E29" s="43"/>
      <c r="F29" s="43"/>
      <c r="G29" s="43"/>
      <c r="H29" s="43"/>
      <c r="I29" s="43"/>
      <c r="J29" s="44">
        <f t="shared" si="0"/>
        <v>0</v>
      </c>
      <c r="K29" s="64"/>
      <c r="L29" s="64"/>
      <c r="M29" s="64"/>
      <c r="N29" s="64"/>
      <c r="O29" s="64"/>
    </row>
    <row r="30" spans="1:15" ht="12.75">
      <c r="A30" s="41" t="s">
        <v>40</v>
      </c>
      <c r="B30" s="42">
        <v>89</v>
      </c>
      <c r="C30" s="43"/>
      <c r="D30" s="43"/>
      <c r="E30" s="43"/>
      <c r="F30" s="43"/>
      <c r="G30" s="43"/>
      <c r="H30" s="43"/>
      <c r="I30" s="43"/>
      <c r="J30" s="44">
        <f t="shared" si="0"/>
        <v>0</v>
      </c>
      <c r="K30" s="64"/>
      <c r="L30" s="64"/>
      <c r="M30" s="64"/>
      <c r="N30" s="64"/>
      <c r="O30" s="64"/>
    </row>
    <row r="31" spans="1:15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4">
        <f t="shared" si="0"/>
        <v>0</v>
      </c>
      <c r="K31" s="64"/>
      <c r="L31" s="64"/>
      <c r="M31" s="64"/>
      <c r="N31" s="64"/>
      <c r="O31" s="64"/>
    </row>
    <row r="32" spans="1:15" s="48" customFormat="1" ht="12.75">
      <c r="A32" s="46" t="s">
        <v>73</v>
      </c>
      <c r="B32" s="42">
        <v>92</v>
      </c>
      <c r="C32" s="47">
        <f aca="true" t="shared" si="1" ref="C32:I32">SUM(C12:C31)</f>
        <v>0</v>
      </c>
      <c r="D32" s="47">
        <f>SUM(D12:D31)</f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4">
        <f t="shared" si="0"/>
        <v>0</v>
      </c>
      <c r="K32" s="126"/>
      <c r="L32" s="126"/>
      <c r="M32" s="126"/>
      <c r="N32" s="126"/>
      <c r="O32" s="126"/>
    </row>
    <row r="33" spans="1:15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4">
        <f t="shared" si="0"/>
        <v>0</v>
      </c>
      <c r="K33" s="64"/>
      <c r="L33" s="64"/>
      <c r="M33" s="64"/>
      <c r="N33" s="64"/>
      <c r="O33" s="64"/>
    </row>
    <row r="34" spans="1:15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4">
        <f t="shared" si="0"/>
        <v>0</v>
      </c>
      <c r="K34" s="64"/>
      <c r="L34" s="64"/>
      <c r="M34" s="64"/>
      <c r="N34" s="64"/>
      <c r="O34" s="64"/>
    </row>
    <row r="35" spans="1:15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4">
        <f t="shared" si="0"/>
        <v>0</v>
      </c>
      <c r="K35" s="64"/>
      <c r="L35" s="64"/>
      <c r="M35" s="64"/>
      <c r="N35" s="64"/>
      <c r="O35" s="64"/>
    </row>
    <row r="36" spans="1:15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4">
        <f t="shared" si="0"/>
        <v>0</v>
      </c>
      <c r="K36" s="64"/>
      <c r="L36" s="64"/>
      <c r="M36" s="64"/>
      <c r="N36" s="64"/>
      <c r="O36" s="64"/>
    </row>
    <row r="37" spans="1:15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4">
        <f t="shared" si="0"/>
        <v>0</v>
      </c>
      <c r="K37" s="64"/>
      <c r="L37" s="64"/>
      <c r="M37" s="64"/>
      <c r="N37" s="64"/>
      <c r="O37" s="64"/>
    </row>
    <row r="38" spans="1:15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4">
        <f t="shared" si="0"/>
        <v>0</v>
      </c>
      <c r="K38" s="64"/>
      <c r="L38" s="64"/>
      <c r="M38" s="64"/>
      <c r="N38" s="64"/>
      <c r="O38" s="64"/>
    </row>
    <row r="39" spans="1:15" s="48" customFormat="1" ht="12.75">
      <c r="A39" s="46" t="s">
        <v>72</v>
      </c>
      <c r="B39" s="42">
        <v>110</v>
      </c>
      <c r="C39" s="47">
        <f aca="true" t="shared" si="2" ref="C39:I39">SUM(C33:C38)</f>
        <v>0</v>
      </c>
      <c r="D39" s="47">
        <f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4">
        <f t="shared" si="0"/>
        <v>0</v>
      </c>
      <c r="K39" s="126"/>
      <c r="L39" s="126"/>
      <c r="M39" s="126"/>
      <c r="N39" s="126"/>
      <c r="O39" s="126"/>
    </row>
    <row r="40" spans="1:15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4">
        <f t="shared" si="0"/>
        <v>0</v>
      </c>
      <c r="K40" s="64"/>
      <c r="L40" s="64"/>
      <c r="M40" s="64"/>
      <c r="N40" s="64"/>
      <c r="O40" s="64"/>
    </row>
    <row r="41" spans="1:15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4">
        <f t="shared" si="0"/>
        <v>0</v>
      </c>
      <c r="K41" s="64"/>
      <c r="L41" s="64"/>
      <c r="M41" s="64"/>
      <c r="N41" s="64"/>
      <c r="O41" s="64"/>
    </row>
    <row r="42" spans="1:15" ht="12.75">
      <c r="A42" s="50" t="s">
        <v>59</v>
      </c>
      <c r="B42" s="42">
        <v>113</v>
      </c>
      <c r="C42" s="43"/>
      <c r="D42" s="43"/>
      <c r="E42" s="43"/>
      <c r="F42" s="43"/>
      <c r="G42" s="43"/>
      <c r="H42" s="43"/>
      <c r="I42" s="43"/>
      <c r="J42" s="44">
        <f t="shared" si="0"/>
        <v>0</v>
      </c>
      <c r="K42" s="64"/>
      <c r="L42" s="64"/>
      <c r="M42" s="64"/>
      <c r="N42" s="64"/>
      <c r="O42" s="64"/>
    </row>
    <row r="43" spans="1:15" ht="12.75">
      <c r="A43" s="50" t="s">
        <v>60</v>
      </c>
      <c r="B43" s="42">
        <v>114</v>
      </c>
      <c r="C43" s="43"/>
      <c r="D43" s="43"/>
      <c r="E43" s="43"/>
      <c r="F43" s="43"/>
      <c r="G43" s="43"/>
      <c r="H43" s="43"/>
      <c r="I43" s="43"/>
      <c r="J43" s="44">
        <f t="shared" si="0"/>
        <v>0</v>
      </c>
      <c r="K43" s="64"/>
      <c r="L43" s="64"/>
      <c r="M43" s="64"/>
      <c r="N43" s="64"/>
      <c r="O43" s="64"/>
    </row>
    <row r="44" spans="1:15" ht="12.75">
      <c r="A44" s="50" t="s">
        <v>61</v>
      </c>
      <c r="B44" s="42">
        <v>115</v>
      </c>
      <c r="C44" s="43"/>
      <c r="D44" s="43"/>
      <c r="E44" s="43"/>
      <c r="F44" s="43"/>
      <c r="G44" s="43"/>
      <c r="H44" s="43"/>
      <c r="I44" s="43"/>
      <c r="J44" s="44">
        <f t="shared" si="0"/>
        <v>0</v>
      </c>
      <c r="K44" s="64"/>
      <c r="L44" s="64"/>
      <c r="M44" s="64"/>
      <c r="N44" s="64"/>
      <c r="O44" s="64"/>
    </row>
    <row r="45" spans="1:15" ht="12.75">
      <c r="A45" s="50" t="s">
        <v>62</v>
      </c>
      <c r="B45" s="42">
        <v>119</v>
      </c>
      <c r="C45" s="43"/>
      <c r="D45" s="43"/>
      <c r="E45" s="43"/>
      <c r="F45" s="43"/>
      <c r="G45" s="43"/>
      <c r="H45" s="43"/>
      <c r="I45" s="43"/>
      <c r="J45" s="44">
        <f t="shared" si="0"/>
        <v>0</v>
      </c>
      <c r="K45" s="64"/>
      <c r="L45" s="64"/>
      <c r="M45" s="64"/>
      <c r="N45" s="64"/>
      <c r="O45" s="64"/>
    </row>
    <row r="46" spans="1:15" ht="12.75">
      <c r="A46" s="50" t="s">
        <v>63</v>
      </c>
      <c r="B46" s="42">
        <v>120</v>
      </c>
      <c r="C46" s="43"/>
      <c r="D46" s="43"/>
      <c r="E46" s="43"/>
      <c r="F46" s="43"/>
      <c r="G46" s="43"/>
      <c r="H46" s="43"/>
      <c r="I46" s="43"/>
      <c r="J46" s="44">
        <f t="shared" si="0"/>
        <v>0</v>
      </c>
      <c r="K46" s="64"/>
      <c r="L46" s="64"/>
      <c r="M46" s="64"/>
      <c r="N46" s="64"/>
      <c r="O46" s="64"/>
    </row>
    <row r="47" spans="1:15" s="48" customFormat="1" ht="12.75">
      <c r="A47" s="46" t="s">
        <v>74</v>
      </c>
      <c r="B47" s="47">
        <v>121</v>
      </c>
      <c r="C47" s="47">
        <f aca="true" t="shared" si="3" ref="C47:I47">SUM(C40:C46)</f>
        <v>0</v>
      </c>
      <c r="D47" s="47">
        <f>SUM(D40:D46)</f>
        <v>0</v>
      </c>
      <c r="E47" s="47">
        <f t="shared" si="3"/>
        <v>0</v>
      </c>
      <c r="F47" s="47">
        <f t="shared" si="3"/>
        <v>0</v>
      </c>
      <c r="G47" s="47">
        <f t="shared" si="3"/>
        <v>0</v>
      </c>
      <c r="H47" s="47">
        <f t="shared" si="3"/>
        <v>0</v>
      </c>
      <c r="I47" s="47">
        <f t="shared" si="3"/>
        <v>0</v>
      </c>
      <c r="J47" s="44">
        <f t="shared" si="0"/>
        <v>0</v>
      </c>
      <c r="K47" s="126"/>
      <c r="L47" s="126"/>
      <c r="M47" s="126"/>
      <c r="N47" s="126"/>
      <c r="O47" s="126"/>
    </row>
    <row r="48" spans="1:15" s="48" customFormat="1" ht="12.75">
      <c r="A48" s="46" t="s">
        <v>119</v>
      </c>
      <c r="B48" s="47">
        <v>152</v>
      </c>
      <c r="C48" s="47">
        <f aca="true" t="shared" si="4" ref="C48:I48">C32+C39+C47</f>
        <v>0</v>
      </c>
      <c r="D48" s="47">
        <f>D32+D39+D47</f>
        <v>0</v>
      </c>
      <c r="E48" s="47">
        <f t="shared" si="4"/>
        <v>0</v>
      </c>
      <c r="F48" s="47">
        <f t="shared" si="4"/>
        <v>0</v>
      </c>
      <c r="G48" s="47">
        <f t="shared" si="4"/>
        <v>0</v>
      </c>
      <c r="H48" s="47">
        <f t="shared" si="4"/>
        <v>0</v>
      </c>
      <c r="I48" s="47">
        <f t="shared" si="4"/>
        <v>0</v>
      </c>
      <c r="J48" s="44">
        <f t="shared" si="0"/>
        <v>0</v>
      </c>
      <c r="K48" s="126"/>
      <c r="L48" s="126"/>
      <c r="M48" s="126"/>
      <c r="N48" s="126"/>
      <c r="O48" s="126"/>
    </row>
    <row r="49" spans="1:15" s="48" customFormat="1" ht="12.75">
      <c r="A49" s="46" t="s">
        <v>51</v>
      </c>
      <c r="B49" s="47">
        <v>158</v>
      </c>
      <c r="C49" s="51"/>
      <c r="D49" s="51"/>
      <c r="E49" s="51"/>
      <c r="F49" s="51"/>
      <c r="G49" s="51"/>
      <c r="H49" s="51"/>
      <c r="I49" s="51"/>
      <c r="J49" s="44">
        <f t="shared" si="0"/>
        <v>0</v>
      </c>
      <c r="K49" s="126"/>
      <c r="L49" s="126"/>
      <c r="M49" s="126"/>
      <c r="N49" s="126"/>
      <c r="O49" s="126"/>
    </row>
    <row r="50" spans="1:15" s="48" customFormat="1" ht="12.75">
      <c r="A50" s="46" t="s">
        <v>75</v>
      </c>
      <c r="B50" s="47">
        <v>159</v>
      </c>
      <c r="C50" s="47">
        <f aca="true" t="shared" si="5" ref="C50:I50">C48+C49</f>
        <v>0</v>
      </c>
      <c r="D50" s="47">
        <f>D48+D49</f>
        <v>0</v>
      </c>
      <c r="E50" s="47">
        <f t="shared" si="5"/>
        <v>0</v>
      </c>
      <c r="F50" s="47">
        <f t="shared" si="5"/>
        <v>0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4">
        <f t="shared" si="0"/>
        <v>0</v>
      </c>
      <c r="K50" s="126"/>
      <c r="L50" s="126"/>
      <c r="M50" s="126"/>
      <c r="N50" s="126"/>
      <c r="O50" s="126"/>
    </row>
    <row r="51" spans="1:14" s="48" customFormat="1" ht="12.75">
      <c r="A51" s="113"/>
      <c r="B51" s="114"/>
      <c r="C51" s="114"/>
      <c r="D51" s="114"/>
      <c r="E51" s="114"/>
      <c r="F51" s="114"/>
      <c r="G51" s="114"/>
      <c r="H51" s="114"/>
      <c r="I51" s="114"/>
      <c r="J51" s="115"/>
      <c r="K51" s="52"/>
      <c r="L51" s="52"/>
      <c r="M51" s="52"/>
      <c r="N51" s="52"/>
    </row>
    <row r="52" spans="1:14" s="48" customFormat="1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39"/>
      <c r="N52" s="135"/>
    </row>
    <row r="53" spans="1:14" s="48" customFormat="1" ht="12.75">
      <c r="A53" s="178" t="s">
        <v>3</v>
      </c>
      <c r="B53" s="136" t="s">
        <v>49</v>
      </c>
      <c r="C53" s="137" t="s">
        <v>188</v>
      </c>
      <c r="D53" s="137" t="s">
        <v>189</v>
      </c>
      <c r="E53" s="137" t="s">
        <v>106</v>
      </c>
      <c r="F53" s="137" t="s">
        <v>190</v>
      </c>
      <c r="G53" s="137" t="s">
        <v>191</v>
      </c>
      <c r="H53" s="137" t="s">
        <v>192</v>
      </c>
      <c r="I53" s="137" t="s">
        <v>192</v>
      </c>
      <c r="J53" s="137" t="s">
        <v>192</v>
      </c>
      <c r="K53" s="191" t="s">
        <v>160</v>
      </c>
      <c r="L53" s="192"/>
      <c r="M53" s="127"/>
      <c r="N53" s="128"/>
    </row>
    <row r="54" spans="1:14" s="48" customFormat="1" ht="12.75">
      <c r="A54" s="179"/>
      <c r="B54" s="54" t="s">
        <v>50</v>
      </c>
      <c r="C54" s="55" t="s">
        <v>105</v>
      </c>
      <c r="D54" s="55" t="s">
        <v>105</v>
      </c>
      <c r="E54" s="55" t="s">
        <v>105</v>
      </c>
      <c r="F54" s="55" t="s">
        <v>109</v>
      </c>
      <c r="G54" s="55" t="s">
        <v>109</v>
      </c>
      <c r="H54" s="55" t="s">
        <v>193</v>
      </c>
      <c r="I54" s="55" t="s">
        <v>194</v>
      </c>
      <c r="J54" s="117" t="s">
        <v>114</v>
      </c>
      <c r="K54" s="54" t="s">
        <v>162</v>
      </c>
      <c r="L54" s="129" t="s">
        <v>161</v>
      </c>
      <c r="M54" s="127"/>
      <c r="N54" s="128"/>
    </row>
    <row r="55" spans="1:16" s="48" customFormat="1" ht="12.75">
      <c r="A55" s="56"/>
      <c r="B55" s="57">
        <f>IF(A55="","",VLOOKUP(A55,$A$12:$B$50,2,FALSE))</f>
      </c>
      <c r="C55" s="57"/>
      <c r="D55" s="57"/>
      <c r="E55" s="57"/>
      <c r="F55" s="57"/>
      <c r="G55" s="57"/>
      <c r="H55" s="57"/>
      <c r="I55" s="57"/>
      <c r="J55" s="130"/>
      <c r="K55" s="57"/>
      <c r="L55" s="58"/>
      <c r="M55" s="131"/>
      <c r="N55" s="114"/>
      <c r="O55" s="116"/>
      <c r="P55" s="132"/>
    </row>
    <row r="56" spans="1:16" s="48" customFormat="1" ht="12.75">
      <c r="A56" s="60"/>
      <c r="B56" s="61">
        <f>IF(A56="","",VLOOKUP(A56,$A$12:$B$50,2,FALSE))</f>
      </c>
      <c r="C56" s="61"/>
      <c r="D56" s="61"/>
      <c r="E56" s="61"/>
      <c r="F56" s="61"/>
      <c r="G56" s="61"/>
      <c r="H56" s="61"/>
      <c r="I56" s="61"/>
      <c r="J56" s="133"/>
      <c r="K56" s="61"/>
      <c r="L56" s="62"/>
      <c r="M56" s="131"/>
      <c r="N56" s="114"/>
      <c r="O56" s="116"/>
      <c r="P56" s="132"/>
    </row>
    <row r="57" spans="1:16" s="48" customFormat="1" ht="12.75">
      <c r="A57" s="60"/>
      <c r="B57" s="61">
        <f>IF(A57="","",VLOOKUP(A57,$A$12:$B$50,2,FALSE))</f>
      </c>
      <c r="C57" s="61"/>
      <c r="D57" s="61"/>
      <c r="E57" s="61"/>
      <c r="F57" s="61"/>
      <c r="G57" s="61"/>
      <c r="H57" s="61"/>
      <c r="I57" s="61"/>
      <c r="J57" s="133"/>
      <c r="K57" s="61"/>
      <c r="L57" s="62"/>
      <c r="M57" s="131"/>
      <c r="N57" s="114"/>
      <c r="O57" s="116"/>
      <c r="P57" s="132"/>
    </row>
    <row r="58" spans="1:16" ht="12.75">
      <c r="A58" s="60"/>
      <c r="B58" s="61">
        <f>IF(A58="","",VLOOKUP(A58,$A$12:$B$50,2,FALSE))</f>
      </c>
      <c r="C58" s="61"/>
      <c r="D58" s="61"/>
      <c r="E58" s="61"/>
      <c r="F58" s="61"/>
      <c r="G58" s="61"/>
      <c r="H58" s="61"/>
      <c r="I58" s="61"/>
      <c r="J58" s="61"/>
      <c r="K58" s="61"/>
      <c r="L58" s="62"/>
      <c r="M58" s="131"/>
      <c r="N58" s="114"/>
      <c r="O58" s="134"/>
      <c r="P58" s="45"/>
    </row>
    <row r="60" spans="1:6" ht="12.75">
      <c r="A60" s="63" t="s">
        <v>21</v>
      </c>
      <c r="B60" s="175"/>
      <c r="C60" s="175"/>
      <c r="D60" s="175"/>
      <c r="E60" s="175"/>
      <c r="F60" s="64"/>
    </row>
    <row r="61" spans="8:9" ht="12.75">
      <c r="H61" s="174"/>
      <c r="I61" s="174"/>
    </row>
    <row r="62" spans="8:9" ht="12.75">
      <c r="H62" s="173" t="s">
        <v>48</v>
      </c>
      <c r="I62" s="173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69"/>
      <c r="L2" s="170"/>
    </row>
    <row r="3" spans="1:12" ht="12.75">
      <c r="A3" s="3"/>
      <c r="H3" s="4"/>
      <c r="I3" s="4"/>
      <c r="J3" s="5" t="s">
        <v>77</v>
      </c>
      <c r="K3" s="169"/>
      <c r="L3" s="170"/>
    </row>
    <row r="4" ht="18" customHeight="1">
      <c r="A4" s="6"/>
    </row>
    <row r="5" spans="1:13" ht="18">
      <c r="A5" s="172" t="s">
        <v>82</v>
      </c>
      <c r="B5" s="172"/>
      <c r="C5" s="172"/>
      <c r="D5" s="172"/>
      <c r="E5" s="7" t="s">
        <v>83</v>
      </c>
      <c r="F5" s="171" t="s">
        <v>96</v>
      </c>
      <c r="G5" s="171"/>
      <c r="H5" s="171"/>
      <c r="I5" s="171"/>
      <c r="J5" s="171"/>
      <c r="K5" s="171"/>
      <c r="L5" s="171"/>
      <c r="M5" s="17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5" t="s">
        <v>121</v>
      </c>
      <c r="N7" s="196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9" t="s">
        <v>122</v>
      </c>
      <c r="N9" s="190"/>
    </row>
    <row r="10" spans="1:14" ht="13.5" thickBot="1">
      <c r="A10" s="25"/>
      <c r="B10" s="26"/>
      <c r="C10" s="176" t="s">
        <v>101</v>
      </c>
      <c r="D10" s="177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32"/>
      <c r="N10" s="33"/>
    </row>
    <row r="11" spans="1:14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9"/>
    </row>
    <row r="12" spans="1:14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3"/>
      <c r="K12" s="44">
        <f>SUM(C12:J12)</f>
        <v>0</v>
      </c>
      <c r="L12" s="43"/>
      <c r="M12" s="43"/>
      <c r="N12" s="43"/>
    </row>
    <row r="13" spans="1:14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3"/>
      <c r="K13" s="44">
        <f aca="true" t="shared" si="0" ref="K13:K50">SUM(C13:J13)</f>
        <v>0</v>
      </c>
      <c r="L13" s="43"/>
      <c r="M13" s="43"/>
      <c r="N13" s="43"/>
    </row>
    <row r="14" spans="1:14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3"/>
      <c r="K14" s="44">
        <f t="shared" si="0"/>
        <v>0</v>
      </c>
      <c r="L14" s="43"/>
      <c r="M14" s="43"/>
      <c r="N14" s="43"/>
    </row>
    <row r="15" spans="1:14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3"/>
      <c r="K15" s="44">
        <f t="shared" si="0"/>
        <v>0</v>
      </c>
      <c r="L15" s="43"/>
      <c r="M15" s="43"/>
      <c r="N15" s="43"/>
    </row>
    <row r="16" spans="1:14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3"/>
      <c r="K16" s="44">
        <f t="shared" si="0"/>
        <v>0</v>
      </c>
      <c r="L16" s="43"/>
      <c r="M16" s="43"/>
      <c r="N16" s="43"/>
    </row>
    <row r="17" spans="1:14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3"/>
      <c r="K17" s="44">
        <f t="shared" si="0"/>
        <v>0</v>
      </c>
      <c r="L17" s="43"/>
      <c r="M17" s="43"/>
      <c r="N17" s="43"/>
    </row>
    <row r="18" spans="1:14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3"/>
      <c r="K18" s="44">
        <f t="shared" si="0"/>
        <v>0</v>
      </c>
      <c r="L18" s="43"/>
      <c r="M18" s="43"/>
      <c r="N18" s="43"/>
    </row>
    <row r="19" spans="1:14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3"/>
      <c r="K19" s="44">
        <f t="shared" si="0"/>
        <v>0</v>
      </c>
      <c r="L19" s="43"/>
      <c r="M19" s="43"/>
      <c r="N19" s="43"/>
    </row>
    <row r="20" spans="1:14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3"/>
      <c r="K20" s="44">
        <f t="shared" si="0"/>
        <v>0</v>
      </c>
      <c r="L20" s="43"/>
      <c r="M20" s="43"/>
      <c r="N20" s="43"/>
    </row>
    <row r="21" spans="1:14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3"/>
      <c r="K21" s="44">
        <f t="shared" si="0"/>
        <v>0</v>
      </c>
      <c r="L21" s="43"/>
      <c r="M21" s="43"/>
      <c r="N21" s="43"/>
    </row>
    <row r="22" spans="1:21" s="45" customFormat="1" ht="12.75" customHeight="1">
      <c r="A22" s="41" t="s">
        <v>38</v>
      </c>
      <c r="B22" s="42">
        <v>81</v>
      </c>
      <c r="C22" s="43"/>
      <c r="D22" s="43"/>
      <c r="E22" s="43"/>
      <c r="F22" s="43"/>
      <c r="G22" s="43"/>
      <c r="H22" s="43"/>
      <c r="I22" s="43"/>
      <c r="J22" s="43"/>
      <c r="K22" s="44">
        <f t="shared" si="0"/>
        <v>0</v>
      </c>
      <c r="L22" s="43"/>
      <c r="M22" s="43"/>
      <c r="N22" s="43"/>
      <c r="O22" s="2"/>
      <c r="P22" s="2"/>
      <c r="Q22" s="2"/>
      <c r="R22" s="2"/>
      <c r="S22" s="2"/>
      <c r="T22" s="2"/>
      <c r="U22" s="2"/>
    </row>
    <row r="23" spans="1:14" ht="12.75">
      <c r="A23" s="41" t="s">
        <v>39</v>
      </c>
      <c r="B23" s="42">
        <v>82</v>
      </c>
      <c r="C23" s="43"/>
      <c r="D23" s="43"/>
      <c r="E23" s="43"/>
      <c r="F23" s="43"/>
      <c r="G23" s="43"/>
      <c r="H23" s="43"/>
      <c r="I23" s="43"/>
      <c r="J23" s="43"/>
      <c r="K23" s="44">
        <f t="shared" si="0"/>
        <v>0</v>
      </c>
      <c r="L23" s="43"/>
      <c r="M23" s="43"/>
      <c r="N23" s="43"/>
    </row>
    <row r="24" spans="1:14" ht="12.75">
      <c r="A24" s="41" t="s">
        <v>32</v>
      </c>
      <c r="B24" s="42">
        <v>83</v>
      </c>
      <c r="C24" s="43"/>
      <c r="D24" s="43"/>
      <c r="E24" s="43"/>
      <c r="F24" s="43"/>
      <c r="G24" s="43"/>
      <c r="H24" s="43"/>
      <c r="I24" s="43"/>
      <c r="J24" s="43"/>
      <c r="K24" s="44">
        <f t="shared" si="0"/>
        <v>0</v>
      </c>
      <c r="L24" s="43"/>
      <c r="M24" s="43"/>
      <c r="N24" s="43"/>
    </row>
    <row r="25" spans="1:14" ht="12.75">
      <c r="A25" s="41" t="s">
        <v>33</v>
      </c>
      <c r="B25" s="42">
        <v>84</v>
      </c>
      <c r="C25" s="43"/>
      <c r="D25" s="43"/>
      <c r="E25" s="43"/>
      <c r="F25" s="43"/>
      <c r="G25" s="43"/>
      <c r="H25" s="43"/>
      <c r="I25" s="43"/>
      <c r="J25" s="43"/>
      <c r="K25" s="44">
        <f t="shared" si="0"/>
        <v>0</v>
      </c>
      <c r="L25" s="43"/>
      <c r="M25" s="43"/>
      <c r="N25" s="43"/>
    </row>
    <row r="26" spans="1:14" ht="12.75">
      <c r="A26" s="41" t="s">
        <v>34</v>
      </c>
      <c r="B26" s="42">
        <v>85</v>
      </c>
      <c r="C26" s="43"/>
      <c r="D26" s="43"/>
      <c r="E26" s="43"/>
      <c r="F26" s="43"/>
      <c r="G26" s="43"/>
      <c r="H26" s="43"/>
      <c r="I26" s="43"/>
      <c r="J26" s="43"/>
      <c r="K26" s="44">
        <f t="shared" si="0"/>
        <v>0</v>
      </c>
      <c r="L26" s="43"/>
      <c r="M26" s="43"/>
      <c r="N26" s="43"/>
    </row>
    <row r="27" spans="1:14" ht="12.75">
      <c r="A27" s="41" t="s">
        <v>35</v>
      </c>
      <c r="B27" s="42">
        <v>86</v>
      </c>
      <c r="C27" s="43"/>
      <c r="D27" s="43"/>
      <c r="E27" s="43"/>
      <c r="F27" s="43"/>
      <c r="G27" s="43"/>
      <c r="H27" s="43"/>
      <c r="I27" s="43"/>
      <c r="J27" s="43"/>
      <c r="K27" s="44">
        <f t="shared" si="0"/>
        <v>0</v>
      </c>
      <c r="L27" s="43"/>
      <c r="M27" s="43"/>
      <c r="N27" s="43"/>
    </row>
    <row r="28" spans="1:14" ht="12.75">
      <c r="A28" s="41" t="s">
        <v>36</v>
      </c>
      <c r="B28" s="42">
        <v>87</v>
      </c>
      <c r="C28" s="43"/>
      <c r="D28" s="43"/>
      <c r="E28" s="43"/>
      <c r="F28" s="43"/>
      <c r="G28" s="43"/>
      <c r="H28" s="43"/>
      <c r="I28" s="43"/>
      <c r="J28" s="43"/>
      <c r="K28" s="44">
        <f t="shared" si="0"/>
        <v>0</v>
      </c>
      <c r="L28" s="43"/>
      <c r="M28" s="43"/>
      <c r="N28" s="43"/>
    </row>
    <row r="29" spans="1:14" ht="12.75">
      <c r="A29" s="41" t="s">
        <v>37</v>
      </c>
      <c r="B29" s="42">
        <v>88</v>
      </c>
      <c r="C29" s="43"/>
      <c r="D29" s="43"/>
      <c r="E29" s="43"/>
      <c r="F29" s="43"/>
      <c r="G29" s="43"/>
      <c r="H29" s="43"/>
      <c r="I29" s="43"/>
      <c r="J29" s="43"/>
      <c r="K29" s="44">
        <f t="shared" si="0"/>
        <v>0</v>
      </c>
      <c r="L29" s="43"/>
      <c r="M29" s="43"/>
      <c r="N29" s="43"/>
    </row>
    <row r="30" spans="1:14" ht="12.75">
      <c r="A30" s="41" t="s">
        <v>40</v>
      </c>
      <c r="B30" s="42">
        <v>89</v>
      </c>
      <c r="C30" s="43"/>
      <c r="D30" s="43"/>
      <c r="E30" s="43"/>
      <c r="F30" s="43"/>
      <c r="G30" s="43"/>
      <c r="H30" s="43"/>
      <c r="I30" s="43"/>
      <c r="J30" s="43"/>
      <c r="K30" s="44">
        <f t="shared" si="0"/>
        <v>0</v>
      </c>
      <c r="L30" s="43"/>
      <c r="M30" s="43"/>
      <c r="N30" s="43"/>
    </row>
    <row r="31" spans="1:14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3"/>
      <c r="K31" s="44">
        <f t="shared" si="0"/>
        <v>0</v>
      </c>
      <c r="L31" s="43"/>
      <c r="M31" s="43"/>
      <c r="N31" s="43"/>
    </row>
    <row r="32" spans="1:14" s="48" customFormat="1" ht="12.75">
      <c r="A32" s="46" t="s">
        <v>73</v>
      </c>
      <c r="B32" s="42">
        <v>92</v>
      </c>
      <c r="C32" s="47">
        <f>SUM(C12:C31)</f>
        <v>0</v>
      </c>
      <c r="D32" s="47">
        <f aca="true" t="shared" si="1" ref="D32:J32">SUM(D12:D31)</f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7">
        <f t="shared" si="1"/>
        <v>0</v>
      </c>
      <c r="K32" s="44">
        <f t="shared" si="0"/>
        <v>0</v>
      </c>
      <c r="L32" s="47">
        <f>SUM(L12:L31)</f>
        <v>0</v>
      </c>
      <c r="M32" s="47">
        <f>SUM(M12:M31)</f>
        <v>0</v>
      </c>
      <c r="N32" s="47">
        <f>SUM(N12:N31)</f>
        <v>0</v>
      </c>
    </row>
    <row r="33" spans="1:14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3"/>
      <c r="K33" s="44">
        <f t="shared" si="0"/>
        <v>0</v>
      </c>
      <c r="L33" s="43"/>
      <c r="M33" s="43"/>
      <c r="N33" s="43"/>
    </row>
    <row r="34" spans="1:14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3"/>
      <c r="K34" s="44">
        <f t="shared" si="0"/>
        <v>0</v>
      </c>
      <c r="L34" s="43"/>
      <c r="M34" s="43"/>
      <c r="N34" s="43"/>
    </row>
    <row r="35" spans="1:14" s="48" customFormat="1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3"/>
      <c r="K35" s="44">
        <f t="shared" si="0"/>
        <v>0</v>
      </c>
      <c r="L35" s="43"/>
      <c r="M35" s="43"/>
      <c r="N35" s="43"/>
    </row>
    <row r="36" spans="1:14" s="48" customFormat="1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3"/>
      <c r="K36" s="44">
        <f t="shared" si="0"/>
        <v>0</v>
      </c>
      <c r="L36" s="43"/>
      <c r="M36" s="43"/>
      <c r="N36" s="43"/>
    </row>
    <row r="37" spans="1:14" s="48" customFormat="1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3"/>
      <c r="K37" s="44">
        <f t="shared" si="0"/>
        <v>0</v>
      </c>
      <c r="L37" s="43"/>
      <c r="M37" s="43"/>
      <c r="N37" s="43"/>
    </row>
    <row r="38" spans="1:14" s="112" customFormat="1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3"/>
      <c r="K38" s="44">
        <f t="shared" si="0"/>
        <v>0</v>
      </c>
      <c r="L38" s="43"/>
      <c r="M38" s="43"/>
      <c r="N38" s="43"/>
    </row>
    <row r="39" spans="1:14" ht="12.75">
      <c r="A39" s="46" t="s">
        <v>72</v>
      </c>
      <c r="B39" s="42">
        <v>110</v>
      </c>
      <c r="C39" s="47">
        <f>SUM(C33:C38)</f>
        <v>0</v>
      </c>
      <c r="D39" s="47">
        <f aca="true" t="shared" si="2" ref="D39:J39"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44">
        <f t="shared" si="0"/>
        <v>0</v>
      </c>
      <c r="L39" s="47">
        <f>SUM(L33:L38)</f>
        <v>0</v>
      </c>
      <c r="M39" s="47">
        <f>SUM(M33:M38)</f>
        <v>0</v>
      </c>
      <c r="N39" s="47">
        <f>SUM(N33:N38)</f>
        <v>0</v>
      </c>
    </row>
    <row r="40" spans="1:14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3"/>
      <c r="K40" s="44">
        <f t="shared" si="0"/>
        <v>0</v>
      </c>
      <c r="L40" s="43"/>
      <c r="M40" s="43"/>
      <c r="N40" s="43"/>
    </row>
    <row r="41" spans="1:14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3"/>
      <c r="K41" s="44">
        <f t="shared" si="0"/>
        <v>0</v>
      </c>
      <c r="L41" s="43"/>
      <c r="M41" s="43"/>
      <c r="N41" s="43"/>
    </row>
    <row r="42" spans="1:14" ht="12.75">
      <c r="A42" s="50" t="s">
        <v>59</v>
      </c>
      <c r="B42" s="42">
        <v>113</v>
      </c>
      <c r="C42" s="43"/>
      <c r="D42" s="43"/>
      <c r="E42" s="43"/>
      <c r="F42" s="43"/>
      <c r="G42" s="43"/>
      <c r="H42" s="43"/>
      <c r="I42" s="43"/>
      <c r="J42" s="43"/>
      <c r="K42" s="44">
        <f t="shared" si="0"/>
        <v>0</v>
      </c>
      <c r="L42" s="43"/>
      <c r="M42" s="43"/>
      <c r="N42" s="43"/>
    </row>
    <row r="43" spans="1:14" ht="12.75">
      <c r="A43" s="50" t="s">
        <v>60</v>
      </c>
      <c r="B43" s="42">
        <v>114</v>
      </c>
      <c r="C43" s="43"/>
      <c r="D43" s="43"/>
      <c r="E43" s="43"/>
      <c r="F43" s="43"/>
      <c r="G43" s="43"/>
      <c r="H43" s="43"/>
      <c r="I43" s="43"/>
      <c r="J43" s="43"/>
      <c r="K43" s="44">
        <f t="shared" si="0"/>
        <v>0</v>
      </c>
      <c r="L43" s="43"/>
      <c r="M43" s="43"/>
      <c r="N43" s="43"/>
    </row>
    <row r="44" spans="1:14" ht="12.75">
      <c r="A44" s="50" t="s">
        <v>61</v>
      </c>
      <c r="B44" s="42">
        <v>115</v>
      </c>
      <c r="C44" s="43"/>
      <c r="D44" s="43"/>
      <c r="E44" s="43"/>
      <c r="F44" s="43"/>
      <c r="G44" s="43"/>
      <c r="H44" s="43"/>
      <c r="I44" s="43"/>
      <c r="J44" s="43"/>
      <c r="K44" s="44">
        <f t="shared" si="0"/>
        <v>0</v>
      </c>
      <c r="L44" s="43"/>
      <c r="M44" s="43"/>
      <c r="N44" s="43"/>
    </row>
    <row r="45" spans="1:14" ht="12.75">
      <c r="A45" s="50" t="s">
        <v>62</v>
      </c>
      <c r="B45" s="42">
        <v>119</v>
      </c>
      <c r="C45" s="43"/>
      <c r="D45" s="43"/>
      <c r="E45" s="43"/>
      <c r="F45" s="43"/>
      <c r="G45" s="43"/>
      <c r="H45" s="43"/>
      <c r="I45" s="43"/>
      <c r="J45" s="43"/>
      <c r="K45" s="44">
        <f t="shared" si="0"/>
        <v>0</v>
      </c>
      <c r="L45" s="43"/>
      <c r="M45" s="43"/>
      <c r="N45" s="43"/>
    </row>
    <row r="46" spans="1:14" ht="12.75">
      <c r="A46" s="50" t="s">
        <v>63</v>
      </c>
      <c r="B46" s="42">
        <v>120</v>
      </c>
      <c r="C46" s="43"/>
      <c r="D46" s="43"/>
      <c r="E46" s="43"/>
      <c r="F46" s="43"/>
      <c r="G46" s="43"/>
      <c r="H46" s="43"/>
      <c r="I46" s="43"/>
      <c r="J46" s="43"/>
      <c r="K46" s="44">
        <f t="shared" si="0"/>
        <v>0</v>
      </c>
      <c r="L46" s="43"/>
      <c r="M46" s="43"/>
      <c r="N46" s="43"/>
    </row>
    <row r="47" spans="1:14" ht="12.75">
      <c r="A47" s="46" t="s">
        <v>74</v>
      </c>
      <c r="B47" s="47">
        <v>121</v>
      </c>
      <c r="C47" s="47">
        <f>SUM(C40:C46)</f>
        <v>0</v>
      </c>
      <c r="D47" s="47">
        <f aca="true" t="shared" si="3" ref="D47:J47">SUM(D40:D46)</f>
        <v>0</v>
      </c>
      <c r="E47" s="47">
        <f t="shared" si="3"/>
        <v>0</v>
      </c>
      <c r="F47" s="47">
        <f t="shared" si="3"/>
        <v>0</v>
      </c>
      <c r="G47" s="47">
        <f t="shared" si="3"/>
        <v>0</v>
      </c>
      <c r="H47" s="47">
        <f t="shared" si="3"/>
        <v>0</v>
      </c>
      <c r="I47" s="47">
        <f t="shared" si="3"/>
        <v>0</v>
      </c>
      <c r="J47" s="47">
        <f t="shared" si="3"/>
        <v>0</v>
      </c>
      <c r="K47" s="44">
        <f t="shared" si="0"/>
        <v>0</v>
      </c>
      <c r="L47" s="47">
        <f>SUM(L40:L46)</f>
        <v>0</v>
      </c>
      <c r="M47" s="47">
        <f>SUM(M40:M46)</f>
        <v>0</v>
      </c>
      <c r="N47" s="47">
        <f>SUM(N40:N46)</f>
        <v>0</v>
      </c>
    </row>
    <row r="48" spans="1:14" ht="12.75">
      <c r="A48" s="46" t="s">
        <v>119</v>
      </c>
      <c r="B48" s="47">
        <v>152</v>
      </c>
      <c r="C48" s="47">
        <f>C32+C39+C47</f>
        <v>0</v>
      </c>
      <c r="D48" s="47">
        <f aca="true" t="shared" si="4" ref="D48:J48">D32+D39+D47</f>
        <v>0</v>
      </c>
      <c r="E48" s="47">
        <f t="shared" si="4"/>
        <v>0</v>
      </c>
      <c r="F48" s="47">
        <f t="shared" si="4"/>
        <v>0</v>
      </c>
      <c r="G48" s="47">
        <f t="shared" si="4"/>
        <v>0</v>
      </c>
      <c r="H48" s="47">
        <f t="shared" si="4"/>
        <v>0</v>
      </c>
      <c r="I48" s="47">
        <f t="shared" si="4"/>
        <v>0</v>
      </c>
      <c r="J48" s="47">
        <f t="shared" si="4"/>
        <v>0</v>
      </c>
      <c r="K48" s="44">
        <f t="shared" si="0"/>
        <v>0</v>
      </c>
      <c r="L48" s="47">
        <f>L32+L39+L47</f>
        <v>0</v>
      </c>
      <c r="M48" s="47">
        <f>M32+M39+M47</f>
        <v>0</v>
      </c>
      <c r="N48" s="47">
        <f>N32+N39+N47</f>
        <v>0</v>
      </c>
    </row>
    <row r="49" spans="1:14" ht="12.75">
      <c r="A49" s="46" t="s">
        <v>51</v>
      </c>
      <c r="B49" s="47">
        <v>158</v>
      </c>
      <c r="C49" s="51"/>
      <c r="D49" s="51"/>
      <c r="E49" s="51"/>
      <c r="F49" s="51"/>
      <c r="G49" s="51"/>
      <c r="H49" s="51"/>
      <c r="I49" s="51"/>
      <c r="J49" s="51"/>
      <c r="K49" s="44">
        <f t="shared" si="0"/>
        <v>0</v>
      </c>
      <c r="L49" s="51"/>
      <c r="M49" s="51"/>
      <c r="N49" s="51"/>
    </row>
    <row r="50" spans="1:14" ht="12.75">
      <c r="A50" s="46" t="s">
        <v>75</v>
      </c>
      <c r="B50" s="47">
        <v>159</v>
      </c>
      <c r="C50" s="47">
        <f>C48+C49</f>
        <v>0</v>
      </c>
      <c r="D50" s="47">
        <f aca="true" t="shared" si="5" ref="D50:J50">D48+D49</f>
        <v>0</v>
      </c>
      <c r="E50" s="47">
        <f t="shared" si="5"/>
        <v>0</v>
      </c>
      <c r="F50" s="47">
        <f t="shared" si="5"/>
        <v>0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7">
        <f t="shared" si="5"/>
        <v>0</v>
      </c>
      <c r="K50" s="44">
        <f t="shared" si="0"/>
        <v>0</v>
      </c>
      <c r="L50" s="47">
        <f>L48+L49</f>
        <v>0</v>
      </c>
      <c r="M50" s="47">
        <f>M48+M49</f>
        <v>0</v>
      </c>
      <c r="N50" s="47">
        <f>N48+N49</f>
        <v>0</v>
      </c>
    </row>
    <row r="51" spans="1:14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5"/>
      <c r="L51" s="114"/>
      <c r="M51" s="114"/>
      <c r="N51" s="116"/>
    </row>
    <row r="52" spans="1:14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7"/>
      <c r="N52" s="116"/>
    </row>
    <row r="53" spans="1:14" ht="12.75">
      <c r="A53" s="178" t="s">
        <v>3</v>
      </c>
      <c r="B53" s="136" t="s">
        <v>49</v>
      </c>
      <c r="C53" s="137" t="s">
        <v>4</v>
      </c>
      <c r="D53" s="137" t="s">
        <v>5</v>
      </c>
      <c r="E53" s="137" t="s">
        <v>6</v>
      </c>
      <c r="F53" s="137" t="s">
        <v>80</v>
      </c>
      <c r="G53" s="137" t="s">
        <v>81</v>
      </c>
      <c r="H53" s="137" t="s">
        <v>7</v>
      </c>
      <c r="I53" s="137" t="s">
        <v>42</v>
      </c>
      <c r="J53" s="137" t="s">
        <v>78</v>
      </c>
      <c r="K53" s="138" t="s">
        <v>155</v>
      </c>
      <c r="L53" s="137" t="s">
        <v>157</v>
      </c>
      <c r="M53" s="137" t="s">
        <v>159</v>
      </c>
      <c r="N53" s="116"/>
    </row>
    <row r="54" spans="1:14" ht="12.75">
      <c r="A54" s="179"/>
      <c r="B54" s="54" t="s">
        <v>50</v>
      </c>
      <c r="C54" s="55" t="s">
        <v>9</v>
      </c>
      <c r="D54" s="55" t="s">
        <v>10</v>
      </c>
      <c r="E54" s="55" t="s">
        <v>11</v>
      </c>
      <c r="F54" s="55" t="s">
        <v>10</v>
      </c>
      <c r="G54" s="55" t="s">
        <v>12</v>
      </c>
      <c r="H54" s="55" t="s">
        <v>13</v>
      </c>
      <c r="I54" s="55" t="s">
        <v>43</v>
      </c>
      <c r="J54" s="55" t="s">
        <v>79</v>
      </c>
      <c r="K54" s="117" t="s">
        <v>156</v>
      </c>
      <c r="L54" s="55" t="s">
        <v>158</v>
      </c>
      <c r="M54" s="55" t="s">
        <v>54</v>
      </c>
      <c r="N54" s="116"/>
    </row>
    <row r="55" spans="1:15" ht="12.75">
      <c r="A55" s="56"/>
      <c r="B55" s="57">
        <f>IF(A55="","",VLOOKUP(A55,$A$12:$B$50,2,FALSE))</f>
      </c>
      <c r="C55" s="57"/>
      <c r="D55" s="57"/>
      <c r="E55" s="57"/>
      <c r="F55" s="57"/>
      <c r="G55" s="57"/>
      <c r="H55" s="57"/>
      <c r="I55" s="57"/>
      <c r="J55" s="57"/>
      <c r="K55" s="118"/>
      <c r="L55" s="57"/>
      <c r="M55" s="58"/>
      <c r="N55" s="119"/>
      <c r="O55" s="45"/>
    </row>
    <row r="56" spans="1:15" ht="12.75">
      <c r="A56" s="60"/>
      <c r="B56" s="61">
        <f>IF(A56="","",VLOOKUP(A56,$A$12:$B$50,2,FALSE))</f>
      </c>
      <c r="C56" s="61"/>
      <c r="D56" s="61"/>
      <c r="E56" s="61"/>
      <c r="F56" s="61"/>
      <c r="G56" s="61"/>
      <c r="H56" s="61"/>
      <c r="I56" s="61"/>
      <c r="J56" s="61"/>
      <c r="K56" s="120"/>
      <c r="L56" s="61"/>
      <c r="M56" s="62"/>
      <c r="N56" s="119"/>
      <c r="O56" s="45"/>
    </row>
    <row r="57" spans="1:15" ht="12.75">
      <c r="A57" s="60"/>
      <c r="B57" s="61">
        <f>IF(A57="","",VLOOKUP(A57,$A$12:$B$50,2,FALSE))</f>
      </c>
      <c r="C57" s="61"/>
      <c r="D57" s="61"/>
      <c r="E57" s="61"/>
      <c r="F57" s="61"/>
      <c r="G57" s="61"/>
      <c r="H57" s="61"/>
      <c r="I57" s="61"/>
      <c r="J57" s="61"/>
      <c r="K57" s="120"/>
      <c r="L57" s="61"/>
      <c r="M57" s="62"/>
      <c r="N57" s="119"/>
      <c r="O57" s="45"/>
    </row>
    <row r="58" spans="1:15" ht="12.75">
      <c r="A58" s="60"/>
      <c r="B58" s="61">
        <f>IF(A58="","",VLOOKUP(A58,$A$12:$B$50,2,FALSE))</f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2"/>
      <c r="N58" s="59"/>
      <c r="O58" s="45"/>
    </row>
    <row r="60" spans="1:5" ht="12.75">
      <c r="A60" s="63" t="s">
        <v>21</v>
      </c>
      <c r="B60" s="175"/>
      <c r="C60" s="175"/>
      <c r="D60" s="175"/>
      <c r="E60" s="64"/>
    </row>
    <row r="61" spans="10:11" ht="12.75">
      <c r="J61" s="174"/>
      <c r="K61" s="174"/>
    </row>
    <row r="62" spans="10:11" ht="12.75">
      <c r="J62" s="173" t="s">
        <v>48</v>
      </c>
      <c r="K62" s="173"/>
    </row>
  </sheetData>
  <sheetProtection/>
  <mergeCells count="14">
    <mergeCell ref="A53:A54"/>
    <mergeCell ref="A52:M52"/>
    <mergeCell ref="K3:L3"/>
    <mergeCell ref="K2:L2"/>
    <mergeCell ref="B60:D60"/>
    <mergeCell ref="J61:K61"/>
    <mergeCell ref="J62:K62"/>
    <mergeCell ref="F5:M5"/>
    <mergeCell ref="A5:D5"/>
    <mergeCell ref="C10:D10"/>
    <mergeCell ref="M9:N9"/>
    <mergeCell ref="M7:M8"/>
    <mergeCell ref="N7:N8"/>
    <mergeCell ref="C7:D7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69"/>
      <c r="L2" s="170"/>
    </row>
    <row r="3" spans="1:12" ht="12.75">
      <c r="A3" s="3"/>
      <c r="H3" s="4"/>
      <c r="I3" s="4"/>
      <c r="J3" s="5" t="s">
        <v>77</v>
      </c>
      <c r="K3" s="169"/>
      <c r="L3" s="170"/>
    </row>
    <row r="4" ht="18" customHeight="1">
      <c r="A4" s="6"/>
    </row>
    <row r="5" spans="1:13" ht="18">
      <c r="A5" s="172" t="s">
        <v>82</v>
      </c>
      <c r="B5" s="172"/>
      <c r="C5" s="172"/>
      <c r="D5" s="172"/>
      <c r="E5" s="7" t="s">
        <v>83</v>
      </c>
      <c r="F5" s="171" t="s">
        <v>97</v>
      </c>
      <c r="G5" s="171"/>
      <c r="H5" s="171"/>
      <c r="I5" s="171"/>
      <c r="J5" s="171"/>
      <c r="K5" s="171"/>
      <c r="L5" s="171"/>
      <c r="M5" s="17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5" t="s">
        <v>121</v>
      </c>
      <c r="N7" s="196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9" t="s">
        <v>122</v>
      </c>
      <c r="N9" s="190"/>
    </row>
    <row r="10" spans="1:14" ht="13.5" thickBot="1">
      <c r="A10" s="25"/>
      <c r="B10" s="26"/>
      <c r="C10" s="176" t="s">
        <v>101</v>
      </c>
      <c r="D10" s="177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32"/>
      <c r="N10" s="33"/>
    </row>
    <row r="11" spans="1:14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9"/>
    </row>
    <row r="12" spans="1:14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3"/>
      <c r="K12" s="44">
        <f>SUM(C12:J12)</f>
        <v>0</v>
      </c>
      <c r="L12" s="43"/>
      <c r="M12" s="43"/>
      <c r="N12" s="43"/>
    </row>
    <row r="13" spans="1:14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3"/>
      <c r="K13" s="44">
        <f aca="true" t="shared" si="0" ref="K13:K50">SUM(C13:J13)</f>
        <v>0</v>
      </c>
      <c r="L13" s="43"/>
      <c r="M13" s="43"/>
      <c r="N13" s="43"/>
    </row>
    <row r="14" spans="1:14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3"/>
      <c r="K14" s="44">
        <f t="shared" si="0"/>
        <v>0</v>
      </c>
      <c r="L14" s="43"/>
      <c r="M14" s="43"/>
      <c r="N14" s="43"/>
    </row>
    <row r="15" spans="1:14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3"/>
      <c r="K15" s="44">
        <f t="shared" si="0"/>
        <v>0</v>
      </c>
      <c r="L15" s="43"/>
      <c r="M15" s="43"/>
      <c r="N15" s="43"/>
    </row>
    <row r="16" spans="1:14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3"/>
      <c r="K16" s="44">
        <f t="shared" si="0"/>
        <v>0</v>
      </c>
      <c r="L16" s="43"/>
      <c r="M16" s="43"/>
      <c r="N16" s="43"/>
    </row>
    <row r="17" spans="1:14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3"/>
      <c r="K17" s="44">
        <f t="shared" si="0"/>
        <v>0</v>
      </c>
      <c r="L17" s="43"/>
      <c r="M17" s="43"/>
      <c r="N17" s="43"/>
    </row>
    <row r="18" spans="1:14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3"/>
      <c r="K18" s="44">
        <f t="shared" si="0"/>
        <v>0</v>
      </c>
      <c r="L18" s="43"/>
      <c r="M18" s="43"/>
      <c r="N18" s="43"/>
    </row>
    <row r="19" spans="1:14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3"/>
      <c r="K19" s="44">
        <f t="shared" si="0"/>
        <v>0</v>
      </c>
      <c r="L19" s="43"/>
      <c r="M19" s="43"/>
      <c r="N19" s="43"/>
    </row>
    <row r="20" spans="1:14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3"/>
      <c r="K20" s="44">
        <f t="shared" si="0"/>
        <v>0</v>
      </c>
      <c r="L20" s="43"/>
      <c r="M20" s="43"/>
      <c r="N20" s="43"/>
    </row>
    <row r="21" spans="1:14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3"/>
      <c r="K21" s="44">
        <f t="shared" si="0"/>
        <v>0</v>
      </c>
      <c r="L21" s="43"/>
      <c r="M21" s="43"/>
      <c r="N21" s="43"/>
    </row>
    <row r="22" spans="1:21" s="45" customFormat="1" ht="12.75" customHeight="1">
      <c r="A22" s="41" t="s">
        <v>38</v>
      </c>
      <c r="B22" s="42">
        <v>81</v>
      </c>
      <c r="C22" s="43"/>
      <c r="D22" s="43"/>
      <c r="E22" s="43"/>
      <c r="F22" s="43"/>
      <c r="G22" s="43"/>
      <c r="H22" s="43"/>
      <c r="I22" s="43"/>
      <c r="J22" s="43"/>
      <c r="K22" s="44">
        <f t="shared" si="0"/>
        <v>0</v>
      </c>
      <c r="L22" s="43"/>
      <c r="M22" s="43"/>
      <c r="N22" s="43"/>
      <c r="O22" s="2"/>
      <c r="P22" s="2"/>
      <c r="Q22" s="2"/>
      <c r="R22" s="2"/>
      <c r="S22" s="2"/>
      <c r="T22" s="2"/>
      <c r="U22" s="2"/>
    </row>
    <row r="23" spans="1:14" ht="12.75">
      <c r="A23" s="41" t="s">
        <v>39</v>
      </c>
      <c r="B23" s="42">
        <v>82</v>
      </c>
      <c r="C23" s="43"/>
      <c r="D23" s="43"/>
      <c r="E23" s="43"/>
      <c r="F23" s="43"/>
      <c r="G23" s="43"/>
      <c r="H23" s="43"/>
      <c r="I23" s="43"/>
      <c r="J23" s="43"/>
      <c r="K23" s="44">
        <f t="shared" si="0"/>
        <v>0</v>
      </c>
      <c r="L23" s="43"/>
      <c r="M23" s="43"/>
      <c r="N23" s="43"/>
    </row>
    <row r="24" spans="1:14" ht="12.75">
      <c r="A24" s="41" t="s">
        <v>32</v>
      </c>
      <c r="B24" s="42">
        <v>83</v>
      </c>
      <c r="C24" s="43"/>
      <c r="D24" s="43"/>
      <c r="E24" s="43"/>
      <c r="F24" s="43"/>
      <c r="G24" s="43"/>
      <c r="H24" s="43"/>
      <c r="I24" s="43"/>
      <c r="J24" s="43"/>
      <c r="K24" s="44">
        <f t="shared" si="0"/>
        <v>0</v>
      </c>
      <c r="L24" s="43"/>
      <c r="M24" s="43"/>
      <c r="N24" s="43"/>
    </row>
    <row r="25" spans="1:14" ht="12.75">
      <c r="A25" s="41" t="s">
        <v>33</v>
      </c>
      <c r="B25" s="42">
        <v>84</v>
      </c>
      <c r="C25" s="43"/>
      <c r="D25" s="43"/>
      <c r="E25" s="43"/>
      <c r="F25" s="43"/>
      <c r="G25" s="43"/>
      <c r="H25" s="43"/>
      <c r="I25" s="43"/>
      <c r="J25" s="43"/>
      <c r="K25" s="44">
        <f t="shared" si="0"/>
        <v>0</v>
      </c>
      <c r="L25" s="43"/>
      <c r="M25" s="43"/>
      <c r="N25" s="43"/>
    </row>
    <row r="26" spans="1:14" ht="12.75">
      <c r="A26" s="41" t="s">
        <v>34</v>
      </c>
      <c r="B26" s="42">
        <v>85</v>
      </c>
      <c r="C26" s="43"/>
      <c r="D26" s="43"/>
      <c r="E26" s="43"/>
      <c r="F26" s="43"/>
      <c r="G26" s="43"/>
      <c r="H26" s="43"/>
      <c r="I26" s="43"/>
      <c r="J26" s="43"/>
      <c r="K26" s="44">
        <f t="shared" si="0"/>
        <v>0</v>
      </c>
      <c r="L26" s="43"/>
      <c r="M26" s="43"/>
      <c r="N26" s="43"/>
    </row>
    <row r="27" spans="1:14" ht="12.75">
      <c r="A27" s="41" t="s">
        <v>35</v>
      </c>
      <c r="B27" s="42">
        <v>86</v>
      </c>
      <c r="C27" s="43"/>
      <c r="D27" s="43"/>
      <c r="E27" s="43"/>
      <c r="F27" s="43"/>
      <c r="G27" s="43"/>
      <c r="H27" s="43"/>
      <c r="I27" s="43"/>
      <c r="J27" s="43"/>
      <c r="K27" s="44">
        <f t="shared" si="0"/>
        <v>0</v>
      </c>
      <c r="L27" s="43"/>
      <c r="M27" s="43"/>
      <c r="N27" s="43"/>
    </row>
    <row r="28" spans="1:14" ht="12.75">
      <c r="A28" s="41" t="s">
        <v>36</v>
      </c>
      <c r="B28" s="42">
        <v>87</v>
      </c>
      <c r="C28" s="43"/>
      <c r="D28" s="43"/>
      <c r="E28" s="43"/>
      <c r="F28" s="43"/>
      <c r="G28" s="43"/>
      <c r="H28" s="43"/>
      <c r="I28" s="43"/>
      <c r="J28" s="43"/>
      <c r="K28" s="44">
        <f t="shared" si="0"/>
        <v>0</v>
      </c>
      <c r="L28" s="43"/>
      <c r="M28" s="43"/>
      <c r="N28" s="43"/>
    </row>
    <row r="29" spans="1:14" ht="12.75">
      <c r="A29" s="41" t="s">
        <v>37</v>
      </c>
      <c r="B29" s="42">
        <v>88</v>
      </c>
      <c r="C29" s="43"/>
      <c r="D29" s="43"/>
      <c r="E29" s="43"/>
      <c r="F29" s="43"/>
      <c r="G29" s="43"/>
      <c r="H29" s="43"/>
      <c r="I29" s="43"/>
      <c r="J29" s="43"/>
      <c r="K29" s="44">
        <f t="shared" si="0"/>
        <v>0</v>
      </c>
      <c r="L29" s="43"/>
      <c r="M29" s="43"/>
      <c r="N29" s="43"/>
    </row>
    <row r="30" spans="1:14" ht="12.75">
      <c r="A30" s="41" t="s">
        <v>40</v>
      </c>
      <c r="B30" s="42">
        <v>89</v>
      </c>
      <c r="C30" s="43"/>
      <c r="D30" s="43"/>
      <c r="E30" s="43"/>
      <c r="F30" s="43"/>
      <c r="G30" s="43"/>
      <c r="H30" s="43"/>
      <c r="I30" s="43"/>
      <c r="J30" s="43"/>
      <c r="K30" s="44">
        <f t="shared" si="0"/>
        <v>0</v>
      </c>
      <c r="L30" s="43"/>
      <c r="M30" s="43"/>
      <c r="N30" s="43"/>
    </row>
    <row r="31" spans="1:14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3"/>
      <c r="K31" s="44">
        <f t="shared" si="0"/>
        <v>0</v>
      </c>
      <c r="L31" s="43"/>
      <c r="M31" s="43"/>
      <c r="N31" s="43"/>
    </row>
    <row r="32" spans="1:14" s="48" customFormat="1" ht="12.75">
      <c r="A32" s="46" t="s">
        <v>73</v>
      </c>
      <c r="B32" s="42">
        <v>92</v>
      </c>
      <c r="C32" s="47">
        <f>SUM(C12:C31)</f>
        <v>0</v>
      </c>
      <c r="D32" s="47">
        <f aca="true" t="shared" si="1" ref="D32:J32">SUM(D12:D31)</f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7">
        <f t="shared" si="1"/>
        <v>0</v>
      </c>
      <c r="K32" s="44">
        <f t="shared" si="0"/>
        <v>0</v>
      </c>
      <c r="L32" s="47">
        <f>SUM(L12:L31)</f>
        <v>0</v>
      </c>
      <c r="M32" s="47">
        <f>SUM(M12:M31)</f>
        <v>0</v>
      </c>
      <c r="N32" s="47">
        <f>SUM(N12:N31)</f>
        <v>0</v>
      </c>
    </row>
    <row r="33" spans="1:14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3"/>
      <c r="K33" s="44">
        <f t="shared" si="0"/>
        <v>0</v>
      </c>
      <c r="L33" s="43"/>
      <c r="M33" s="43"/>
      <c r="N33" s="43"/>
    </row>
    <row r="34" spans="1:14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3"/>
      <c r="K34" s="44">
        <f t="shared" si="0"/>
        <v>0</v>
      </c>
      <c r="L34" s="43"/>
      <c r="M34" s="43"/>
      <c r="N34" s="43"/>
    </row>
    <row r="35" spans="1:14" s="48" customFormat="1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3"/>
      <c r="K35" s="44">
        <f t="shared" si="0"/>
        <v>0</v>
      </c>
      <c r="L35" s="43"/>
      <c r="M35" s="43"/>
      <c r="N35" s="43"/>
    </row>
    <row r="36" spans="1:14" s="48" customFormat="1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3"/>
      <c r="K36" s="44">
        <f t="shared" si="0"/>
        <v>0</v>
      </c>
      <c r="L36" s="43"/>
      <c r="M36" s="43"/>
      <c r="N36" s="43"/>
    </row>
    <row r="37" spans="1:14" s="48" customFormat="1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3"/>
      <c r="K37" s="44">
        <f t="shared" si="0"/>
        <v>0</v>
      </c>
      <c r="L37" s="43"/>
      <c r="M37" s="43"/>
      <c r="N37" s="43"/>
    </row>
    <row r="38" spans="1:14" s="112" customFormat="1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3"/>
      <c r="K38" s="44">
        <f t="shared" si="0"/>
        <v>0</v>
      </c>
      <c r="L38" s="43"/>
      <c r="M38" s="43"/>
      <c r="N38" s="43"/>
    </row>
    <row r="39" spans="1:14" ht="12.75">
      <c r="A39" s="46" t="s">
        <v>72</v>
      </c>
      <c r="B39" s="42">
        <v>110</v>
      </c>
      <c r="C39" s="47">
        <f>SUM(C33:C38)</f>
        <v>0</v>
      </c>
      <c r="D39" s="47">
        <f aca="true" t="shared" si="2" ref="D39:J39"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44">
        <f t="shared" si="0"/>
        <v>0</v>
      </c>
      <c r="L39" s="47">
        <f>SUM(L33:L38)</f>
        <v>0</v>
      </c>
      <c r="M39" s="47">
        <f>SUM(M33:M38)</f>
        <v>0</v>
      </c>
      <c r="N39" s="47">
        <f>SUM(N33:N38)</f>
        <v>0</v>
      </c>
    </row>
    <row r="40" spans="1:14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3"/>
      <c r="K40" s="44">
        <f t="shared" si="0"/>
        <v>0</v>
      </c>
      <c r="L40" s="43"/>
      <c r="M40" s="43"/>
      <c r="N40" s="43"/>
    </row>
    <row r="41" spans="1:14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3"/>
      <c r="K41" s="44">
        <f t="shared" si="0"/>
        <v>0</v>
      </c>
      <c r="L41" s="43"/>
      <c r="M41" s="43"/>
      <c r="N41" s="43"/>
    </row>
    <row r="42" spans="1:14" ht="12.75">
      <c r="A42" s="50" t="s">
        <v>59</v>
      </c>
      <c r="B42" s="42">
        <v>113</v>
      </c>
      <c r="C42" s="43"/>
      <c r="D42" s="43"/>
      <c r="E42" s="43"/>
      <c r="F42" s="43"/>
      <c r="G42" s="43"/>
      <c r="H42" s="43"/>
      <c r="I42" s="43"/>
      <c r="J42" s="43"/>
      <c r="K42" s="44">
        <f t="shared" si="0"/>
        <v>0</v>
      </c>
      <c r="L42" s="43"/>
      <c r="M42" s="43"/>
      <c r="N42" s="43"/>
    </row>
    <row r="43" spans="1:14" ht="12.75">
      <c r="A43" s="50" t="s">
        <v>60</v>
      </c>
      <c r="B43" s="42">
        <v>114</v>
      </c>
      <c r="C43" s="43"/>
      <c r="D43" s="43"/>
      <c r="E43" s="43"/>
      <c r="F43" s="43"/>
      <c r="G43" s="43"/>
      <c r="H43" s="43"/>
      <c r="I43" s="43"/>
      <c r="J43" s="43"/>
      <c r="K43" s="44">
        <f t="shared" si="0"/>
        <v>0</v>
      </c>
      <c r="L43" s="43"/>
      <c r="M43" s="43"/>
      <c r="N43" s="43"/>
    </row>
    <row r="44" spans="1:14" ht="12.75">
      <c r="A44" s="50" t="s">
        <v>61</v>
      </c>
      <c r="B44" s="42">
        <v>115</v>
      </c>
      <c r="C44" s="43"/>
      <c r="D44" s="43"/>
      <c r="E44" s="43"/>
      <c r="F44" s="43"/>
      <c r="G44" s="43"/>
      <c r="H44" s="43"/>
      <c r="I44" s="43"/>
      <c r="J44" s="43"/>
      <c r="K44" s="44">
        <f t="shared" si="0"/>
        <v>0</v>
      </c>
      <c r="L44" s="43"/>
      <c r="M44" s="43"/>
      <c r="N44" s="43"/>
    </row>
    <row r="45" spans="1:14" ht="12.75">
      <c r="A45" s="50" t="s">
        <v>62</v>
      </c>
      <c r="B45" s="42">
        <v>119</v>
      </c>
      <c r="C45" s="43"/>
      <c r="D45" s="43"/>
      <c r="E45" s="43"/>
      <c r="F45" s="43"/>
      <c r="G45" s="43"/>
      <c r="H45" s="43"/>
      <c r="I45" s="43"/>
      <c r="J45" s="43"/>
      <c r="K45" s="44">
        <f t="shared" si="0"/>
        <v>0</v>
      </c>
      <c r="L45" s="43"/>
      <c r="M45" s="43"/>
      <c r="N45" s="43"/>
    </row>
    <row r="46" spans="1:14" ht="12.75">
      <c r="A46" s="50" t="s">
        <v>63</v>
      </c>
      <c r="B46" s="42">
        <v>120</v>
      </c>
      <c r="C46" s="43"/>
      <c r="D46" s="43"/>
      <c r="E46" s="43"/>
      <c r="F46" s="43"/>
      <c r="G46" s="43"/>
      <c r="H46" s="43"/>
      <c r="I46" s="43"/>
      <c r="J46" s="43"/>
      <c r="K46" s="44">
        <f t="shared" si="0"/>
        <v>0</v>
      </c>
      <c r="L46" s="43"/>
      <c r="M46" s="43"/>
      <c r="N46" s="43"/>
    </row>
    <row r="47" spans="1:14" ht="12.75">
      <c r="A47" s="46" t="s">
        <v>74</v>
      </c>
      <c r="B47" s="47">
        <v>121</v>
      </c>
      <c r="C47" s="47">
        <f>SUM(C40:C46)</f>
        <v>0</v>
      </c>
      <c r="D47" s="47">
        <f aca="true" t="shared" si="3" ref="D47:J47">SUM(D40:D46)</f>
        <v>0</v>
      </c>
      <c r="E47" s="47">
        <f t="shared" si="3"/>
        <v>0</v>
      </c>
      <c r="F47" s="47">
        <f t="shared" si="3"/>
        <v>0</v>
      </c>
      <c r="G47" s="47">
        <f t="shared" si="3"/>
        <v>0</v>
      </c>
      <c r="H47" s="47">
        <f t="shared" si="3"/>
        <v>0</v>
      </c>
      <c r="I47" s="47">
        <f t="shared" si="3"/>
        <v>0</v>
      </c>
      <c r="J47" s="47">
        <f t="shared" si="3"/>
        <v>0</v>
      </c>
      <c r="K47" s="44">
        <f t="shared" si="0"/>
        <v>0</v>
      </c>
      <c r="L47" s="47">
        <f>SUM(L40:L46)</f>
        <v>0</v>
      </c>
      <c r="M47" s="47">
        <f>SUM(M40:M46)</f>
        <v>0</v>
      </c>
      <c r="N47" s="47">
        <f>SUM(N40:N46)</f>
        <v>0</v>
      </c>
    </row>
    <row r="48" spans="1:14" ht="12.75">
      <c r="A48" s="46" t="s">
        <v>119</v>
      </c>
      <c r="B48" s="47">
        <v>152</v>
      </c>
      <c r="C48" s="47">
        <f>C32+C39+C47</f>
        <v>0</v>
      </c>
      <c r="D48" s="47">
        <f aca="true" t="shared" si="4" ref="D48:J48">D32+D39+D47</f>
        <v>0</v>
      </c>
      <c r="E48" s="47">
        <f t="shared" si="4"/>
        <v>0</v>
      </c>
      <c r="F48" s="47">
        <f t="shared" si="4"/>
        <v>0</v>
      </c>
      <c r="G48" s="47">
        <f t="shared" si="4"/>
        <v>0</v>
      </c>
      <c r="H48" s="47">
        <f t="shared" si="4"/>
        <v>0</v>
      </c>
      <c r="I48" s="47">
        <f t="shared" si="4"/>
        <v>0</v>
      </c>
      <c r="J48" s="47">
        <f t="shared" si="4"/>
        <v>0</v>
      </c>
      <c r="K48" s="44">
        <f t="shared" si="0"/>
        <v>0</v>
      </c>
      <c r="L48" s="47">
        <f>L32+L39+L47</f>
        <v>0</v>
      </c>
      <c r="M48" s="47">
        <f>M32+M39+M47</f>
        <v>0</v>
      </c>
      <c r="N48" s="47">
        <f>N32+N39+N47</f>
        <v>0</v>
      </c>
    </row>
    <row r="49" spans="1:14" ht="12.75">
      <c r="A49" s="46" t="s">
        <v>51</v>
      </c>
      <c r="B49" s="47">
        <v>158</v>
      </c>
      <c r="C49" s="51"/>
      <c r="D49" s="51"/>
      <c r="E49" s="51"/>
      <c r="F49" s="51"/>
      <c r="G49" s="51"/>
      <c r="H49" s="51"/>
      <c r="I49" s="51"/>
      <c r="J49" s="51"/>
      <c r="K49" s="44">
        <f t="shared" si="0"/>
        <v>0</v>
      </c>
      <c r="L49" s="51"/>
      <c r="M49" s="51"/>
      <c r="N49" s="51"/>
    </row>
    <row r="50" spans="1:14" ht="12.75">
      <c r="A50" s="46" t="s">
        <v>75</v>
      </c>
      <c r="B50" s="47">
        <v>159</v>
      </c>
      <c r="C50" s="47">
        <f>C48+C49</f>
        <v>0</v>
      </c>
      <c r="D50" s="47">
        <f aca="true" t="shared" si="5" ref="D50:J50">D48+D49</f>
        <v>0</v>
      </c>
      <c r="E50" s="47">
        <f t="shared" si="5"/>
        <v>0</v>
      </c>
      <c r="F50" s="47">
        <f t="shared" si="5"/>
        <v>0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7">
        <f t="shared" si="5"/>
        <v>0</v>
      </c>
      <c r="K50" s="44">
        <f t="shared" si="0"/>
        <v>0</v>
      </c>
      <c r="L50" s="47">
        <f>L48+L49</f>
        <v>0</v>
      </c>
      <c r="M50" s="47">
        <f>M48+M49</f>
        <v>0</v>
      </c>
      <c r="N50" s="47">
        <f>N48+N49</f>
        <v>0</v>
      </c>
    </row>
    <row r="51" spans="1:14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5"/>
      <c r="L51" s="114"/>
      <c r="M51" s="114"/>
      <c r="N51" s="116"/>
    </row>
    <row r="52" spans="1:14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7"/>
      <c r="N52" s="116"/>
    </row>
    <row r="53" spans="1:14" ht="12.75">
      <c r="A53" s="178" t="s">
        <v>3</v>
      </c>
      <c r="B53" s="136" t="s">
        <v>49</v>
      </c>
      <c r="C53" s="137" t="s">
        <v>4</v>
      </c>
      <c r="D53" s="137" t="s">
        <v>5</v>
      </c>
      <c r="E53" s="137" t="s">
        <v>6</v>
      </c>
      <c r="F53" s="137" t="s">
        <v>80</v>
      </c>
      <c r="G53" s="137" t="s">
        <v>81</v>
      </c>
      <c r="H53" s="137" t="s">
        <v>7</v>
      </c>
      <c r="I53" s="137" t="s">
        <v>42</v>
      </c>
      <c r="J53" s="137" t="s">
        <v>78</v>
      </c>
      <c r="K53" s="138" t="s">
        <v>155</v>
      </c>
      <c r="L53" s="137" t="s">
        <v>157</v>
      </c>
      <c r="M53" s="137" t="s">
        <v>159</v>
      </c>
      <c r="N53" s="116"/>
    </row>
    <row r="54" spans="1:14" ht="12.75">
      <c r="A54" s="179"/>
      <c r="B54" s="54" t="s">
        <v>50</v>
      </c>
      <c r="C54" s="55" t="s">
        <v>9</v>
      </c>
      <c r="D54" s="55" t="s">
        <v>10</v>
      </c>
      <c r="E54" s="55" t="s">
        <v>11</v>
      </c>
      <c r="F54" s="55" t="s">
        <v>10</v>
      </c>
      <c r="G54" s="55" t="s">
        <v>12</v>
      </c>
      <c r="H54" s="55" t="s">
        <v>13</v>
      </c>
      <c r="I54" s="55" t="s">
        <v>43</v>
      </c>
      <c r="J54" s="55" t="s">
        <v>79</v>
      </c>
      <c r="K54" s="117" t="s">
        <v>156</v>
      </c>
      <c r="L54" s="55" t="s">
        <v>158</v>
      </c>
      <c r="M54" s="55" t="s">
        <v>54</v>
      </c>
      <c r="N54" s="116"/>
    </row>
    <row r="55" spans="1:15" ht="12.75">
      <c r="A55" s="56"/>
      <c r="B55" s="57">
        <f>IF(A55="","",VLOOKUP(A55,$A$12:$B$50,2,FALSE))</f>
      </c>
      <c r="C55" s="57"/>
      <c r="D55" s="57"/>
      <c r="E55" s="57"/>
      <c r="F55" s="57"/>
      <c r="G55" s="57"/>
      <c r="H55" s="57"/>
      <c r="I55" s="57"/>
      <c r="J55" s="57"/>
      <c r="K55" s="118"/>
      <c r="L55" s="57"/>
      <c r="M55" s="58"/>
      <c r="N55" s="119"/>
      <c r="O55" s="45"/>
    </row>
    <row r="56" spans="1:15" ht="12.75">
      <c r="A56" s="60"/>
      <c r="B56" s="61">
        <f>IF(A56="","",VLOOKUP(A56,$A$12:$B$50,2,FALSE))</f>
      </c>
      <c r="C56" s="61"/>
      <c r="D56" s="61"/>
      <c r="E56" s="61"/>
      <c r="F56" s="61"/>
      <c r="G56" s="61"/>
      <c r="H56" s="61"/>
      <c r="I56" s="61"/>
      <c r="J56" s="61"/>
      <c r="K56" s="120"/>
      <c r="L56" s="61"/>
      <c r="M56" s="62"/>
      <c r="N56" s="119"/>
      <c r="O56" s="45"/>
    </row>
    <row r="57" spans="1:15" ht="12.75">
      <c r="A57" s="60"/>
      <c r="B57" s="61">
        <f>IF(A57="","",VLOOKUP(A57,$A$12:$B$50,2,FALSE))</f>
      </c>
      <c r="C57" s="61"/>
      <c r="D57" s="61"/>
      <c r="E57" s="61"/>
      <c r="F57" s="61"/>
      <c r="G57" s="61"/>
      <c r="H57" s="61"/>
      <c r="I57" s="61"/>
      <c r="J57" s="61"/>
      <c r="K57" s="120"/>
      <c r="L57" s="61"/>
      <c r="M57" s="62"/>
      <c r="N57" s="119"/>
      <c r="O57" s="45"/>
    </row>
    <row r="58" spans="1:15" ht="12.75">
      <c r="A58" s="60"/>
      <c r="B58" s="61">
        <f>IF(A58="","",VLOOKUP(A58,$A$12:$B$50,2,FALSE))</f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2"/>
      <c r="N58" s="59"/>
      <c r="O58" s="45"/>
    </row>
    <row r="60" spans="1:5" ht="12.75">
      <c r="A60" s="63" t="s">
        <v>21</v>
      </c>
      <c r="B60" s="175"/>
      <c r="C60" s="175"/>
      <c r="D60" s="175"/>
      <c r="E60" s="64"/>
    </row>
    <row r="61" spans="10:11" ht="12.75">
      <c r="J61" s="174"/>
      <c r="K61" s="174"/>
    </row>
    <row r="62" spans="10:11" ht="12.75">
      <c r="J62" s="173" t="s">
        <v>48</v>
      </c>
      <c r="K62" s="173"/>
    </row>
  </sheetData>
  <sheetProtection/>
  <mergeCells count="14">
    <mergeCell ref="A53:A54"/>
    <mergeCell ref="A52:M52"/>
    <mergeCell ref="K3:L3"/>
    <mergeCell ref="K2:L2"/>
    <mergeCell ref="B60:D60"/>
    <mergeCell ref="J61:K61"/>
    <mergeCell ref="J62:K62"/>
    <mergeCell ref="F5:M5"/>
    <mergeCell ref="A5:D5"/>
    <mergeCell ref="C10:D10"/>
    <mergeCell ref="M9:N9"/>
    <mergeCell ref="M7:M8"/>
    <mergeCell ref="N7:N8"/>
    <mergeCell ref="C7:D7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9" ht="12.75">
      <c r="A2" s="3" t="s">
        <v>71</v>
      </c>
      <c r="G2" s="5" t="s">
        <v>0</v>
      </c>
      <c r="H2" s="169"/>
      <c r="I2" s="170"/>
    </row>
    <row r="3" spans="1:9" ht="12.75">
      <c r="A3" s="3"/>
      <c r="G3" s="5" t="s">
        <v>77</v>
      </c>
      <c r="H3" s="169"/>
      <c r="I3" s="170"/>
    </row>
    <row r="4" ht="18" customHeight="1">
      <c r="A4" s="6"/>
    </row>
    <row r="5" spans="1:10" ht="18">
      <c r="A5" s="172" t="s">
        <v>85</v>
      </c>
      <c r="B5" s="172"/>
      <c r="C5" s="172"/>
      <c r="D5" s="172"/>
      <c r="E5" s="172"/>
      <c r="F5" s="7" t="s">
        <v>83</v>
      </c>
      <c r="G5" s="171" t="s">
        <v>173</v>
      </c>
      <c r="H5" s="171"/>
      <c r="I5" s="171"/>
      <c r="J5" s="17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21" t="s">
        <v>115</v>
      </c>
      <c r="E7" s="121"/>
      <c r="F7" s="16" t="s">
        <v>107</v>
      </c>
      <c r="G7" s="16" t="s">
        <v>110</v>
      </c>
      <c r="H7" s="16" t="s">
        <v>112</v>
      </c>
      <c r="I7" s="16" t="s">
        <v>112</v>
      </c>
      <c r="J7" s="122" t="s">
        <v>112</v>
      </c>
    </row>
    <row r="8" spans="1:10" ht="12.75">
      <c r="A8" s="123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4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4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7" t="s">
        <v>181</v>
      </c>
      <c r="G10" s="27" t="s">
        <v>183</v>
      </c>
      <c r="H10" s="27" t="s">
        <v>187</v>
      </c>
      <c r="I10" s="27" t="s">
        <v>184</v>
      </c>
      <c r="J10" s="146" t="s">
        <v>182</v>
      </c>
    </row>
    <row r="11" spans="1:10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125"/>
    </row>
    <row r="12" spans="1:15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4">
        <f>SUM(C12:I12)</f>
        <v>0</v>
      </c>
      <c r="K12" s="64"/>
      <c r="L12" s="64"/>
      <c r="M12" s="64"/>
      <c r="N12" s="64"/>
      <c r="O12" s="64"/>
    </row>
    <row r="13" spans="1:15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4">
        <f aca="true" t="shared" si="0" ref="J13:J50">SUM(C13:I13)</f>
        <v>0</v>
      </c>
      <c r="K13" s="64"/>
      <c r="L13" s="64"/>
      <c r="M13" s="64"/>
      <c r="N13" s="64"/>
      <c r="O13" s="64"/>
    </row>
    <row r="14" spans="1:15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4">
        <f t="shared" si="0"/>
        <v>0</v>
      </c>
      <c r="K14" s="64"/>
      <c r="L14" s="64"/>
      <c r="M14" s="64"/>
      <c r="N14" s="64"/>
      <c r="O14" s="64"/>
    </row>
    <row r="15" spans="1:15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4">
        <f t="shared" si="0"/>
        <v>0</v>
      </c>
      <c r="K15" s="64"/>
      <c r="L15" s="64"/>
      <c r="M15" s="64"/>
      <c r="N15" s="64"/>
      <c r="O15" s="64"/>
    </row>
    <row r="16" spans="1:15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4">
        <f t="shared" si="0"/>
        <v>0</v>
      </c>
      <c r="K16" s="64"/>
      <c r="L16" s="64"/>
      <c r="M16" s="64"/>
      <c r="N16" s="64"/>
      <c r="O16" s="64"/>
    </row>
    <row r="17" spans="1:15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4">
        <f t="shared" si="0"/>
        <v>0</v>
      </c>
      <c r="K17" s="64"/>
      <c r="L17" s="64"/>
      <c r="M17" s="64"/>
      <c r="N17" s="64"/>
      <c r="O17" s="64"/>
    </row>
    <row r="18" spans="1:15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4">
        <f t="shared" si="0"/>
        <v>0</v>
      </c>
      <c r="K18" s="64"/>
      <c r="L18" s="64"/>
      <c r="M18" s="64"/>
      <c r="N18" s="64"/>
      <c r="O18" s="64"/>
    </row>
    <row r="19" spans="1:15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4">
        <f t="shared" si="0"/>
        <v>0</v>
      </c>
      <c r="K19" s="64"/>
      <c r="L19" s="64"/>
      <c r="M19" s="64"/>
      <c r="N19" s="64"/>
      <c r="O19" s="64"/>
    </row>
    <row r="20" spans="1:15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4">
        <f t="shared" si="0"/>
        <v>0</v>
      </c>
      <c r="K20" s="64"/>
      <c r="L20" s="64"/>
      <c r="M20" s="64"/>
      <c r="N20" s="64"/>
      <c r="O20" s="64"/>
    </row>
    <row r="21" spans="1:15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4">
        <f t="shared" si="0"/>
        <v>0</v>
      </c>
      <c r="K21" s="64"/>
      <c r="L21" s="64"/>
      <c r="M21" s="64"/>
      <c r="N21" s="64"/>
      <c r="O21" s="64"/>
    </row>
    <row r="22" spans="1:18" s="45" customFormat="1" ht="12.75" customHeight="1">
      <c r="A22" s="41" t="s">
        <v>38</v>
      </c>
      <c r="B22" s="42">
        <v>81</v>
      </c>
      <c r="C22" s="43"/>
      <c r="D22" s="43"/>
      <c r="E22" s="43"/>
      <c r="F22" s="43"/>
      <c r="G22" s="43"/>
      <c r="H22" s="43"/>
      <c r="I22" s="43"/>
      <c r="J22" s="44">
        <f t="shared" si="0"/>
        <v>0</v>
      </c>
      <c r="K22" s="64"/>
      <c r="L22" s="64"/>
      <c r="M22" s="64"/>
      <c r="N22" s="64"/>
      <c r="O22" s="64"/>
      <c r="P22" s="2"/>
      <c r="Q22" s="2"/>
      <c r="R22" s="2"/>
    </row>
    <row r="23" spans="1:15" ht="12.75">
      <c r="A23" s="41" t="s">
        <v>39</v>
      </c>
      <c r="B23" s="42">
        <v>82</v>
      </c>
      <c r="C23" s="43"/>
      <c r="D23" s="43"/>
      <c r="E23" s="43"/>
      <c r="F23" s="43"/>
      <c r="G23" s="43"/>
      <c r="H23" s="43"/>
      <c r="I23" s="43"/>
      <c r="J23" s="44">
        <f t="shared" si="0"/>
        <v>0</v>
      </c>
      <c r="K23" s="64"/>
      <c r="L23" s="64"/>
      <c r="M23" s="64"/>
      <c r="N23" s="64"/>
      <c r="O23" s="64"/>
    </row>
    <row r="24" spans="1:15" ht="12.75">
      <c r="A24" s="41" t="s">
        <v>32</v>
      </c>
      <c r="B24" s="42">
        <v>83</v>
      </c>
      <c r="C24" s="43"/>
      <c r="D24" s="43"/>
      <c r="E24" s="43"/>
      <c r="F24" s="43"/>
      <c r="G24" s="43"/>
      <c r="H24" s="43"/>
      <c r="I24" s="43"/>
      <c r="J24" s="44">
        <f t="shared" si="0"/>
        <v>0</v>
      </c>
      <c r="K24" s="64"/>
      <c r="L24" s="64"/>
      <c r="M24" s="64"/>
      <c r="N24" s="64"/>
      <c r="O24" s="64"/>
    </row>
    <row r="25" spans="1:15" ht="12.75">
      <c r="A25" s="41" t="s">
        <v>33</v>
      </c>
      <c r="B25" s="42">
        <v>84</v>
      </c>
      <c r="C25" s="43"/>
      <c r="D25" s="43"/>
      <c r="E25" s="43"/>
      <c r="F25" s="43"/>
      <c r="G25" s="43"/>
      <c r="H25" s="43"/>
      <c r="I25" s="43"/>
      <c r="J25" s="44">
        <f t="shared" si="0"/>
        <v>0</v>
      </c>
      <c r="K25" s="64"/>
      <c r="L25" s="64"/>
      <c r="M25" s="64"/>
      <c r="N25" s="64"/>
      <c r="O25" s="64"/>
    </row>
    <row r="26" spans="1:15" ht="12.75">
      <c r="A26" s="41" t="s">
        <v>34</v>
      </c>
      <c r="B26" s="42">
        <v>85</v>
      </c>
      <c r="C26" s="43"/>
      <c r="D26" s="43"/>
      <c r="E26" s="43"/>
      <c r="F26" s="43"/>
      <c r="G26" s="43"/>
      <c r="H26" s="43"/>
      <c r="I26" s="43"/>
      <c r="J26" s="44">
        <f t="shared" si="0"/>
        <v>0</v>
      </c>
      <c r="K26" s="64"/>
      <c r="L26" s="64"/>
      <c r="M26" s="64"/>
      <c r="N26" s="64"/>
      <c r="O26" s="64"/>
    </row>
    <row r="27" spans="1:15" ht="12.75">
      <c r="A27" s="41" t="s">
        <v>35</v>
      </c>
      <c r="B27" s="42">
        <v>86</v>
      </c>
      <c r="C27" s="43"/>
      <c r="D27" s="43"/>
      <c r="E27" s="43"/>
      <c r="F27" s="43"/>
      <c r="G27" s="43"/>
      <c r="H27" s="43"/>
      <c r="I27" s="43"/>
      <c r="J27" s="44">
        <f t="shared" si="0"/>
        <v>0</v>
      </c>
      <c r="K27" s="64"/>
      <c r="L27" s="64"/>
      <c r="M27" s="64"/>
      <c r="N27" s="64"/>
      <c r="O27" s="64"/>
    </row>
    <row r="28" spans="1:15" ht="12.75">
      <c r="A28" s="41" t="s">
        <v>36</v>
      </c>
      <c r="B28" s="42">
        <v>87</v>
      </c>
      <c r="C28" s="43"/>
      <c r="D28" s="43"/>
      <c r="E28" s="43"/>
      <c r="F28" s="43"/>
      <c r="G28" s="43"/>
      <c r="H28" s="43"/>
      <c r="I28" s="43"/>
      <c r="J28" s="44">
        <f t="shared" si="0"/>
        <v>0</v>
      </c>
      <c r="K28" s="64"/>
      <c r="L28" s="64"/>
      <c r="M28" s="64"/>
      <c r="N28" s="64"/>
      <c r="O28" s="64"/>
    </row>
    <row r="29" spans="1:15" ht="12.75">
      <c r="A29" s="41" t="s">
        <v>37</v>
      </c>
      <c r="B29" s="42">
        <v>88</v>
      </c>
      <c r="C29" s="43"/>
      <c r="D29" s="43"/>
      <c r="E29" s="43"/>
      <c r="F29" s="43"/>
      <c r="G29" s="43"/>
      <c r="H29" s="43"/>
      <c r="I29" s="43"/>
      <c r="J29" s="44">
        <f t="shared" si="0"/>
        <v>0</v>
      </c>
      <c r="K29" s="64"/>
      <c r="L29" s="64"/>
      <c r="M29" s="64"/>
      <c r="N29" s="64"/>
      <c r="O29" s="64"/>
    </row>
    <row r="30" spans="1:15" ht="12.75">
      <c r="A30" s="41" t="s">
        <v>40</v>
      </c>
      <c r="B30" s="42">
        <v>89</v>
      </c>
      <c r="C30" s="43"/>
      <c r="D30" s="43"/>
      <c r="E30" s="43"/>
      <c r="F30" s="43"/>
      <c r="G30" s="43"/>
      <c r="H30" s="43"/>
      <c r="I30" s="43"/>
      <c r="J30" s="44">
        <f t="shared" si="0"/>
        <v>0</v>
      </c>
      <c r="K30" s="64"/>
      <c r="L30" s="64"/>
      <c r="M30" s="64"/>
      <c r="N30" s="64"/>
      <c r="O30" s="64"/>
    </row>
    <row r="31" spans="1:15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4">
        <f t="shared" si="0"/>
        <v>0</v>
      </c>
      <c r="K31" s="64"/>
      <c r="L31" s="64"/>
      <c r="M31" s="64"/>
      <c r="N31" s="64"/>
      <c r="O31" s="64"/>
    </row>
    <row r="32" spans="1:15" s="48" customFormat="1" ht="12.75">
      <c r="A32" s="46" t="s">
        <v>73</v>
      </c>
      <c r="B32" s="42">
        <v>92</v>
      </c>
      <c r="C32" s="47">
        <f aca="true" t="shared" si="1" ref="C32:I32">SUM(C12:C31)</f>
        <v>0</v>
      </c>
      <c r="D32" s="47">
        <f>SUM(D12:D31)</f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4">
        <f t="shared" si="0"/>
        <v>0</v>
      </c>
      <c r="K32" s="126"/>
      <c r="L32" s="126"/>
      <c r="M32" s="126"/>
      <c r="N32" s="126"/>
      <c r="O32" s="126"/>
    </row>
    <row r="33" spans="1:15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4">
        <f t="shared" si="0"/>
        <v>0</v>
      </c>
      <c r="K33" s="64"/>
      <c r="L33" s="64"/>
      <c r="M33" s="64"/>
      <c r="N33" s="64"/>
      <c r="O33" s="64"/>
    </row>
    <row r="34" spans="1:15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4">
        <f t="shared" si="0"/>
        <v>0</v>
      </c>
      <c r="K34" s="64"/>
      <c r="L34" s="64"/>
      <c r="M34" s="64"/>
      <c r="N34" s="64"/>
      <c r="O34" s="64"/>
    </row>
    <row r="35" spans="1:15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4">
        <f t="shared" si="0"/>
        <v>0</v>
      </c>
      <c r="K35" s="64"/>
      <c r="L35" s="64"/>
      <c r="M35" s="64"/>
      <c r="N35" s="64"/>
      <c r="O35" s="64"/>
    </row>
    <row r="36" spans="1:15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4">
        <f t="shared" si="0"/>
        <v>0</v>
      </c>
      <c r="K36" s="64"/>
      <c r="L36" s="64"/>
      <c r="M36" s="64"/>
      <c r="N36" s="64"/>
      <c r="O36" s="64"/>
    </row>
    <row r="37" spans="1:15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4">
        <f t="shared" si="0"/>
        <v>0</v>
      </c>
      <c r="K37" s="64"/>
      <c r="L37" s="64"/>
      <c r="M37" s="64"/>
      <c r="N37" s="64"/>
      <c r="O37" s="64"/>
    </row>
    <row r="38" spans="1:15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4">
        <f t="shared" si="0"/>
        <v>0</v>
      </c>
      <c r="K38" s="64"/>
      <c r="L38" s="64"/>
      <c r="M38" s="64"/>
      <c r="N38" s="64"/>
      <c r="O38" s="64"/>
    </row>
    <row r="39" spans="1:15" s="48" customFormat="1" ht="12.75">
      <c r="A39" s="46" t="s">
        <v>72</v>
      </c>
      <c r="B39" s="42">
        <v>110</v>
      </c>
      <c r="C39" s="47">
        <f aca="true" t="shared" si="2" ref="C39:I39">SUM(C33:C38)</f>
        <v>0</v>
      </c>
      <c r="D39" s="47">
        <f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4">
        <f t="shared" si="0"/>
        <v>0</v>
      </c>
      <c r="K39" s="126"/>
      <c r="L39" s="126"/>
      <c r="M39" s="126"/>
      <c r="N39" s="126"/>
      <c r="O39" s="126"/>
    </row>
    <row r="40" spans="1:15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4">
        <f t="shared" si="0"/>
        <v>0</v>
      </c>
      <c r="K40" s="64"/>
      <c r="L40" s="64"/>
      <c r="M40" s="64"/>
      <c r="N40" s="64"/>
      <c r="O40" s="64"/>
    </row>
    <row r="41" spans="1:15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4">
        <f t="shared" si="0"/>
        <v>0</v>
      </c>
      <c r="K41" s="64"/>
      <c r="L41" s="64"/>
      <c r="M41" s="64"/>
      <c r="N41" s="64"/>
      <c r="O41" s="64"/>
    </row>
    <row r="42" spans="1:15" ht="12.75">
      <c r="A42" s="50" t="s">
        <v>59</v>
      </c>
      <c r="B42" s="42">
        <v>113</v>
      </c>
      <c r="C42" s="43"/>
      <c r="D42" s="43"/>
      <c r="E42" s="43"/>
      <c r="F42" s="43"/>
      <c r="G42" s="43"/>
      <c r="H42" s="43"/>
      <c r="I42" s="43"/>
      <c r="J42" s="44">
        <f t="shared" si="0"/>
        <v>0</v>
      </c>
      <c r="K42" s="64"/>
      <c r="L42" s="64"/>
      <c r="M42" s="64"/>
      <c r="N42" s="64"/>
      <c r="O42" s="64"/>
    </row>
    <row r="43" spans="1:15" ht="12.75">
      <c r="A43" s="50" t="s">
        <v>60</v>
      </c>
      <c r="B43" s="42">
        <v>114</v>
      </c>
      <c r="C43" s="43"/>
      <c r="D43" s="43"/>
      <c r="E43" s="43"/>
      <c r="F43" s="43"/>
      <c r="G43" s="43"/>
      <c r="H43" s="43"/>
      <c r="I43" s="43"/>
      <c r="J43" s="44">
        <f t="shared" si="0"/>
        <v>0</v>
      </c>
      <c r="K43" s="64"/>
      <c r="L43" s="64"/>
      <c r="M43" s="64"/>
      <c r="N43" s="64"/>
      <c r="O43" s="64"/>
    </row>
    <row r="44" spans="1:15" ht="12.75">
      <c r="A44" s="50" t="s">
        <v>61</v>
      </c>
      <c r="B44" s="42">
        <v>115</v>
      </c>
      <c r="C44" s="43"/>
      <c r="D44" s="43"/>
      <c r="E44" s="43"/>
      <c r="F44" s="43"/>
      <c r="G44" s="43"/>
      <c r="H44" s="43"/>
      <c r="I44" s="43"/>
      <c r="J44" s="44">
        <f t="shared" si="0"/>
        <v>0</v>
      </c>
      <c r="K44" s="64"/>
      <c r="L44" s="64"/>
      <c r="M44" s="64"/>
      <c r="N44" s="64"/>
      <c r="O44" s="64"/>
    </row>
    <row r="45" spans="1:15" ht="12.75">
      <c r="A45" s="50" t="s">
        <v>62</v>
      </c>
      <c r="B45" s="42">
        <v>119</v>
      </c>
      <c r="C45" s="43"/>
      <c r="D45" s="43"/>
      <c r="E45" s="43"/>
      <c r="F45" s="43"/>
      <c r="G45" s="43"/>
      <c r="H45" s="43"/>
      <c r="I45" s="43"/>
      <c r="J45" s="44">
        <f t="shared" si="0"/>
        <v>0</v>
      </c>
      <c r="K45" s="64"/>
      <c r="L45" s="64"/>
      <c r="M45" s="64"/>
      <c r="N45" s="64"/>
      <c r="O45" s="64"/>
    </row>
    <row r="46" spans="1:15" ht="12.75">
      <c r="A46" s="50" t="s">
        <v>63</v>
      </c>
      <c r="B46" s="42">
        <v>120</v>
      </c>
      <c r="C46" s="43"/>
      <c r="D46" s="43"/>
      <c r="E46" s="43"/>
      <c r="F46" s="43"/>
      <c r="G46" s="43"/>
      <c r="H46" s="43"/>
      <c r="I46" s="43"/>
      <c r="J46" s="44">
        <f t="shared" si="0"/>
        <v>0</v>
      </c>
      <c r="K46" s="64"/>
      <c r="L46" s="64"/>
      <c r="M46" s="64"/>
      <c r="N46" s="64"/>
      <c r="O46" s="64"/>
    </row>
    <row r="47" spans="1:15" s="48" customFormat="1" ht="12.75">
      <c r="A47" s="46" t="s">
        <v>74</v>
      </c>
      <c r="B47" s="47">
        <v>121</v>
      </c>
      <c r="C47" s="47">
        <f aca="true" t="shared" si="3" ref="C47:I47">SUM(C40:C46)</f>
        <v>0</v>
      </c>
      <c r="D47" s="47">
        <f>SUM(D40:D46)</f>
        <v>0</v>
      </c>
      <c r="E47" s="47">
        <f t="shared" si="3"/>
        <v>0</v>
      </c>
      <c r="F47" s="47">
        <f t="shared" si="3"/>
        <v>0</v>
      </c>
      <c r="G47" s="47">
        <f t="shared" si="3"/>
        <v>0</v>
      </c>
      <c r="H47" s="47">
        <f t="shared" si="3"/>
        <v>0</v>
      </c>
      <c r="I47" s="47">
        <f t="shared" si="3"/>
        <v>0</v>
      </c>
      <c r="J47" s="44">
        <f t="shared" si="0"/>
        <v>0</v>
      </c>
      <c r="K47" s="126"/>
      <c r="L47" s="126"/>
      <c r="M47" s="126"/>
      <c r="N47" s="126"/>
      <c r="O47" s="126"/>
    </row>
    <row r="48" spans="1:15" s="48" customFormat="1" ht="12.75">
      <c r="A48" s="46" t="s">
        <v>119</v>
      </c>
      <c r="B48" s="47">
        <v>152</v>
      </c>
      <c r="C48" s="47">
        <f aca="true" t="shared" si="4" ref="C48:I48">C32+C39+C47</f>
        <v>0</v>
      </c>
      <c r="D48" s="47">
        <f>D32+D39+D47</f>
        <v>0</v>
      </c>
      <c r="E48" s="47">
        <f t="shared" si="4"/>
        <v>0</v>
      </c>
      <c r="F48" s="47">
        <f t="shared" si="4"/>
        <v>0</v>
      </c>
      <c r="G48" s="47">
        <f t="shared" si="4"/>
        <v>0</v>
      </c>
      <c r="H48" s="47">
        <f t="shared" si="4"/>
        <v>0</v>
      </c>
      <c r="I48" s="47">
        <f t="shared" si="4"/>
        <v>0</v>
      </c>
      <c r="J48" s="44">
        <f t="shared" si="0"/>
        <v>0</v>
      </c>
      <c r="K48" s="126"/>
      <c r="L48" s="126"/>
      <c r="M48" s="126"/>
      <c r="N48" s="126"/>
      <c r="O48" s="126"/>
    </row>
    <row r="49" spans="1:15" s="48" customFormat="1" ht="12.75">
      <c r="A49" s="46" t="s">
        <v>51</v>
      </c>
      <c r="B49" s="47">
        <v>158</v>
      </c>
      <c r="C49" s="51"/>
      <c r="D49" s="51"/>
      <c r="E49" s="51"/>
      <c r="F49" s="51"/>
      <c r="G49" s="51"/>
      <c r="H49" s="51"/>
      <c r="I49" s="51"/>
      <c r="J49" s="44">
        <f t="shared" si="0"/>
        <v>0</v>
      </c>
      <c r="K49" s="126"/>
      <c r="L49" s="126"/>
      <c r="M49" s="126"/>
      <c r="N49" s="126"/>
      <c r="O49" s="126"/>
    </row>
    <row r="50" spans="1:15" s="48" customFormat="1" ht="12.75">
      <c r="A50" s="46" t="s">
        <v>75</v>
      </c>
      <c r="B50" s="47">
        <v>159</v>
      </c>
      <c r="C50" s="47">
        <f aca="true" t="shared" si="5" ref="C50:I50">C48+C49</f>
        <v>0</v>
      </c>
      <c r="D50" s="47">
        <f>D48+D49</f>
        <v>0</v>
      </c>
      <c r="E50" s="47">
        <f t="shared" si="5"/>
        <v>0</v>
      </c>
      <c r="F50" s="47">
        <f t="shared" si="5"/>
        <v>0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4">
        <f t="shared" si="0"/>
        <v>0</v>
      </c>
      <c r="K50" s="126"/>
      <c r="L50" s="126"/>
      <c r="M50" s="126"/>
      <c r="N50" s="126"/>
      <c r="O50" s="126"/>
    </row>
    <row r="51" spans="1:14" s="48" customFormat="1" ht="12.75">
      <c r="A51" s="113"/>
      <c r="B51" s="114"/>
      <c r="C51" s="114"/>
      <c r="D51" s="114"/>
      <c r="E51" s="114"/>
      <c r="F51" s="114"/>
      <c r="G51" s="114"/>
      <c r="H51" s="114"/>
      <c r="I51" s="114"/>
      <c r="J51" s="115"/>
      <c r="K51" s="52"/>
      <c r="L51" s="52"/>
      <c r="M51" s="52"/>
      <c r="N51" s="52"/>
    </row>
    <row r="52" spans="1:14" s="48" customFormat="1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39"/>
      <c r="N52" s="135"/>
    </row>
    <row r="53" spans="1:14" s="48" customFormat="1" ht="12.75">
      <c r="A53" s="178" t="s">
        <v>3</v>
      </c>
      <c r="B53" s="136" t="s">
        <v>49</v>
      </c>
      <c r="C53" s="137" t="s">
        <v>188</v>
      </c>
      <c r="D53" s="137" t="s">
        <v>189</v>
      </c>
      <c r="E53" s="137" t="s">
        <v>106</v>
      </c>
      <c r="F53" s="137" t="s">
        <v>190</v>
      </c>
      <c r="G53" s="137" t="s">
        <v>191</v>
      </c>
      <c r="H53" s="137" t="s">
        <v>192</v>
      </c>
      <c r="I53" s="137" t="s">
        <v>192</v>
      </c>
      <c r="J53" s="137" t="s">
        <v>192</v>
      </c>
      <c r="K53" s="191" t="s">
        <v>160</v>
      </c>
      <c r="L53" s="192"/>
      <c r="M53" s="127"/>
      <c r="N53" s="128"/>
    </row>
    <row r="54" spans="1:14" s="48" customFormat="1" ht="12.75">
      <c r="A54" s="179"/>
      <c r="B54" s="54" t="s">
        <v>50</v>
      </c>
      <c r="C54" s="55" t="s">
        <v>105</v>
      </c>
      <c r="D54" s="55" t="s">
        <v>105</v>
      </c>
      <c r="E54" s="55" t="s">
        <v>105</v>
      </c>
      <c r="F54" s="55" t="s">
        <v>109</v>
      </c>
      <c r="G54" s="55" t="s">
        <v>109</v>
      </c>
      <c r="H54" s="55" t="s">
        <v>193</v>
      </c>
      <c r="I54" s="55" t="s">
        <v>194</v>
      </c>
      <c r="J54" s="117" t="s">
        <v>114</v>
      </c>
      <c r="K54" s="54" t="s">
        <v>162</v>
      </c>
      <c r="L54" s="129" t="s">
        <v>161</v>
      </c>
      <c r="M54" s="127"/>
      <c r="N54" s="128"/>
    </row>
    <row r="55" spans="1:16" s="48" customFormat="1" ht="12.75">
      <c r="A55" s="56"/>
      <c r="B55" s="57">
        <f>IF(A55="","",VLOOKUP(A55,$A$12:$B$50,2,FALSE))</f>
      </c>
      <c r="C55" s="57"/>
      <c r="D55" s="57"/>
      <c r="E55" s="57"/>
      <c r="F55" s="57"/>
      <c r="G55" s="57"/>
      <c r="H55" s="57"/>
      <c r="I55" s="57"/>
      <c r="J55" s="130"/>
      <c r="K55" s="57"/>
      <c r="L55" s="58"/>
      <c r="M55" s="131"/>
      <c r="N55" s="114"/>
      <c r="O55" s="116"/>
      <c r="P55" s="132"/>
    </row>
    <row r="56" spans="1:16" s="48" customFormat="1" ht="12.75">
      <c r="A56" s="60"/>
      <c r="B56" s="61">
        <f>IF(A56="","",VLOOKUP(A56,$A$12:$B$50,2,FALSE))</f>
      </c>
      <c r="C56" s="61"/>
      <c r="D56" s="61"/>
      <c r="E56" s="61"/>
      <c r="F56" s="61"/>
      <c r="G56" s="61"/>
      <c r="H56" s="61"/>
      <c r="I56" s="61"/>
      <c r="J56" s="133"/>
      <c r="K56" s="61"/>
      <c r="L56" s="62"/>
      <c r="M56" s="131"/>
      <c r="N56" s="114"/>
      <c r="O56" s="116"/>
      <c r="P56" s="132"/>
    </row>
    <row r="57" spans="1:16" s="48" customFormat="1" ht="12.75">
      <c r="A57" s="60"/>
      <c r="B57" s="61">
        <f>IF(A57="","",VLOOKUP(A57,$A$12:$B$50,2,FALSE))</f>
      </c>
      <c r="C57" s="61"/>
      <c r="D57" s="61"/>
      <c r="E57" s="61"/>
      <c r="F57" s="61"/>
      <c r="G57" s="61"/>
      <c r="H57" s="61"/>
      <c r="I57" s="61"/>
      <c r="J57" s="133"/>
      <c r="K57" s="61"/>
      <c r="L57" s="62"/>
      <c r="M57" s="131"/>
      <c r="N57" s="114"/>
      <c r="O57" s="116"/>
      <c r="P57" s="132"/>
    </row>
    <row r="58" spans="1:16" ht="12.75">
      <c r="A58" s="60"/>
      <c r="B58" s="61">
        <f>IF(A58="","",VLOOKUP(A58,$A$12:$B$50,2,FALSE))</f>
      </c>
      <c r="C58" s="61"/>
      <c r="D58" s="61"/>
      <c r="E58" s="61"/>
      <c r="F58" s="61"/>
      <c r="G58" s="61"/>
      <c r="H58" s="61"/>
      <c r="I58" s="61"/>
      <c r="J58" s="61"/>
      <c r="K58" s="61"/>
      <c r="L58" s="62"/>
      <c r="M58" s="131"/>
      <c r="N58" s="114"/>
      <c r="O58" s="134"/>
      <c r="P58" s="45"/>
    </row>
    <row r="60" spans="1:6" ht="12.75">
      <c r="A60" s="63" t="s">
        <v>21</v>
      </c>
      <c r="B60" s="175"/>
      <c r="C60" s="175"/>
      <c r="D60" s="175"/>
      <c r="E60" s="175"/>
      <c r="F60" s="64"/>
    </row>
    <row r="61" spans="8:9" ht="12.75">
      <c r="H61" s="174"/>
      <c r="I61" s="174"/>
    </row>
    <row r="62" spans="8:9" ht="12.75">
      <c r="H62" s="173" t="s">
        <v>48</v>
      </c>
      <c r="I62" s="173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9" ht="12.75">
      <c r="A2" s="3" t="s">
        <v>71</v>
      </c>
      <c r="G2" s="5" t="s">
        <v>0</v>
      </c>
      <c r="H2" s="169"/>
      <c r="I2" s="170"/>
    </row>
    <row r="3" spans="1:9" ht="12.75">
      <c r="A3" s="3"/>
      <c r="G3" s="5" t="s">
        <v>77</v>
      </c>
      <c r="H3" s="169"/>
      <c r="I3" s="170"/>
    </row>
    <row r="4" ht="18" customHeight="1">
      <c r="A4" s="6"/>
    </row>
    <row r="5" spans="1:10" ht="18">
      <c r="A5" s="172" t="s">
        <v>85</v>
      </c>
      <c r="B5" s="172"/>
      <c r="C5" s="172"/>
      <c r="D5" s="172"/>
      <c r="E5" s="172"/>
      <c r="F5" s="7" t="s">
        <v>83</v>
      </c>
      <c r="G5" s="171" t="s">
        <v>174</v>
      </c>
      <c r="H5" s="171"/>
      <c r="I5" s="171"/>
      <c r="J5" s="17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21" t="s">
        <v>115</v>
      </c>
      <c r="E7" s="121"/>
      <c r="F7" s="16" t="s">
        <v>107</v>
      </c>
      <c r="G7" s="16" t="s">
        <v>110</v>
      </c>
      <c r="H7" s="16" t="s">
        <v>112</v>
      </c>
      <c r="I7" s="16" t="s">
        <v>112</v>
      </c>
      <c r="J7" s="122" t="s">
        <v>112</v>
      </c>
    </row>
    <row r="8" spans="1:10" ht="12.75">
      <c r="A8" s="123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4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4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7" t="s">
        <v>181</v>
      </c>
      <c r="G10" s="27" t="s">
        <v>183</v>
      </c>
      <c r="H10" s="27" t="s">
        <v>187</v>
      </c>
      <c r="I10" s="27" t="s">
        <v>184</v>
      </c>
      <c r="J10" s="146" t="s">
        <v>182</v>
      </c>
    </row>
    <row r="11" spans="1:10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125"/>
    </row>
    <row r="12" spans="1:15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4">
        <f>SUM(C12:I12)</f>
        <v>0</v>
      </c>
      <c r="K12" s="64"/>
      <c r="L12" s="64"/>
      <c r="M12" s="64"/>
      <c r="N12" s="64"/>
      <c r="O12" s="64"/>
    </row>
    <row r="13" spans="1:15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4">
        <f aca="true" t="shared" si="0" ref="J13:J50">SUM(C13:I13)</f>
        <v>0</v>
      </c>
      <c r="K13" s="64"/>
      <c r="L13" s="64"/>
      <c r="M13" s="64"/>
      <c r="N13" s="64"/>
      <c r="O13" s="64"/>
    </row>
    <row r="14" spans="1:15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4">
        <f t="shared" si="0"/>
        <v>0</v>
      </c>
      <c r="K14" s="64"/>
      <c r="L14" s="64"/>
      <c r="M14" s="64"/>
      <c r="N14" s="64"/>
      <c r="O14" s="64"/>
    </row>
    <row r="15" spans="1:15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4">
        <f t="shared" si="0"/>
        <v>0</v>
      </c>
      <c r="K15" s="64"/>
      <c r="L15" s="64"/>
      <c r="M15" s="64"/>
      <c r="N15" s="64"/>
      <c r="O15" s="64"/>
    </row>
    <row r="16" spans="1:15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4">
        <f t="shared" si="0"/>
        <v>0</v>
      </c>
      <c r="K16" s="64"/>
      <c r="L16" s="64"/>
      <c r="M16" s="64"/>
      <c r="N16" s="64"/>
      <c r="O16" s="64"/>
    </row>
    <row r="17" spans="1:15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4">
        <f t="shared" si="0"/>
        <v>0</v>
      </c>
      <c r="K17" s="64"/>
      <c r="L17" s="64"/>
      <c r="M17" s="64"/>
      <c r="N17" s="64"/>
      <c r="O17" s="64"/>
    </row>
    <row r="18" spans="1:15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4">
        <f t="shared" si="0"/>
        <v>0</v>
      </c>
      <c r="K18" s="64"/>
      <c r="L18" s="64"/>
      <c r="M18" s="64"/>
      <c r="N18" s="64"/>
      <c r="O18" s="64"/>
    </row>
    <row r="19" spans="1:15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4">
        <f t="shared" si="0"/>
        <v>0</v>
      </c>
      <c r="K19" s="64"/>
      <c r="L19" s="64"/>
      <c r="M19" s="64"/>
      <c r="N19" s="64"/>
      <c r="O19" s="64"/>
    </row>
    <row r="20" spans="1:15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4">
        <f t="shared" si="0"/>
        <v>0</v>
      </c>
      <c r="K20" s="64"/>
      <c r="L20" s="64"/>
      <c r="M20" s="64"/>
      <c r="N20" s="64"/>
      <c r="O20" s="64"/>
    </row>
    <row r="21" spans="1:15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4">
        <f t="shared" si="0"/>
        <v>0</v>
      </c>
      <c r="K21" s="64"/>
      <c r="L21" s="64"/>
      <c r="M21" s="64"/>
      <c r="N21" s="64"/>
      <c r="O21" s="64"/>
    </row>
    <row r="22" spans="1:18" s="45" customFormat="1" ht="12.75" customHeight="1">
      <c r="A22" s="41" t="s">
        <v>38</v>
      </c>
      <c r="B22" s="42">
        <v>81</v>
      </c>
      <c r="C22" s="43"/>
      <c r="D22" s="43"/>
      <c r="E22" s="43"/>
      <c r="F22" s="43"/>
      <c r="G22" s="43"/>
      <c r="H22" s="43"/>
      <c r="I22" s="43"/>
      <c r="J22" s="44">
        <f t="shared" si="0"/>
        <v>0</v>
      </c>
      <c r="K22" s="64"/>
      <c r="L22" s="64"/>
      <c r="M22" s="64"/>
      <c r="N22" s="64"/>
      <c r="O22" s="64"/>
      <c r="P22" s="2"/>
      <c r="Q22" s="2"/>
      <c r="R22" s="2"/>
    </row>
    <row r="23" spans="1:15" ht="12.75">
      <c r="A23" s="41" t="s">
        <v>39</v>
      </c>
      <c r="B23" s="42">
        <v>82</v>
      </c>
      <c r="C23" s="43"/>
      <c r="D23" s="43"/>
      <c r="E23" s="43"/>
      <c r="F23" s="43"/>
      <c r="G23" s="43"/>
      <c r="H23" s="43"/>
      <c r="I23" s="43"/>
      <c r="J23" s="44">
        <f t="shared" si="0"/>
        <v>0</v>
      </c>
      <c r="K23" s="64"/>
      <c r="L23" s="64"/>
      <c r="M23" s="64"/>
      <c r="N23" s="64"/>
      <c r="O23" s="64"/>
    </row>
    <row r="24" spans="1:15" ht="12.75">
      <c r="A24" s="41" t="s">
        <v>32</v>
      </c>
      <c r="B24" s="42">
        <v>83</v>
      </c>
      <c r="C24" s="43"/>
      <c r="D24" s="43"/>
      <c r="E24" s="43"/>
      <c r="F24" s="43"/>
      <c r="G24" s="43"/>
      <c r="H24" s="43"/>
      <c r="I24" s="43"/>
      <c r="J24" s="44">
        <f t="shared" si="0"/>
        <v>0</v>
      </c>
      <c r="K24" s="64"/>
      <c r="L24" s="64"/>
      <c r="M24" s="64"/>
      <c r="N24" s="64"/>
      <c r="O24" s="64"/>
    </row>
    <row r="25" spans="1:15" ht="12.75">
      <c r="A25" s="41" t="s">
        <v>33</v>
      </c>
      <c r="B25" s="42">
        <v>84</v>
      </c>
      <c r="C25" s="43"/>
      <c r="D25" s="43"/>
      <c r="E25" s="43"/>
      <c r="F25" s="43"/>
      <c r="G25" s="43"/>
      <c r="H25" s="43"/>
      <c r="I25" s="43"/>
      <c r="J25" s="44">
        <f t="shared" si="0"/>
        <v>0</v>
      </c>
      <c r="K25" s="64"/>
      <c r="L25" s="64"/>
      <c r="M25" s="64"/>
      <c r="N25" s="64"/>
      <c r="O25" s="64"/>
    </row>
    <row r="26" spans="1:15" ht="12.75">
      <c r="A26" s="41" t="s">
        <v>34</v>
      </c>
      <c r="B26" s="42">
        <v>85</v>
      </c>
      <c r="C26" s="43"/>
      <c r="D26" s="43"/>
      <c r="E26" s="43"/>
      <c r="F26" s="43"/>
      <c r="G26" s="43"/>
      <c r="H26" s="43"/>
      <c r="I26" s="43"/>
      <c r="J26" s="44">
        <f t="shared" si="0"/>
        <v>0</v>
      </c>
      <c r="K26" s="64"/>
      <c r="L26" s="64"/>
      <c r="M26" s="64"/>
      <c r="N26" s="64"/>
      <c r="O26" s="64"/>
    </row>
    <row r="27" spans="1:15" ht="12.75">
      <c r="A27" s="41" t="s">
        <v>35</v>
      </c>
      <c r="B27" s="42">
        <v>86</v>
      </c>
      <c r="C27" s="43"/>
      <c r="D27" s="43"/>
      <c r="E27" s="43"/>
      <c r="F27" s="43"/>
      <c r="G27" s="43"/>
      <c r="H27" s="43"/>
      <c r="I27" s="43"/>
      <c r="J27" s="44">
        <f t="shared" si="0"/>
        <v>0</v>
      </c>
      <c r="K27" s="64"/>
      <c r="L27" s="64"/>
      <c r="M27" s="64"/>
      <c r="N27" s="64"/>
      <c r="O27" s="64"/>
    </row>
    <row r="28" spans="1:15" ht="12.75">
      <c r="A28" s="41" t="s">
        <v>36</v>
      </c>
      <c r="B28" s="42">
        <v>87</v>
      </c>
      <c r="C28" s="43"/>
      <c r="D28" s="43"/>
      <c r="E28" s="43"/>
      <c r="F28" s="43"/>
      <c r="G28" s="43"/>
      <c r="H28" s="43"/>
      <c r="I28" s="43"/>
      <c r="J28" s="44">
        <f t="shared" si="0"/>
        <v>0</v>
      </c>
      <c r="K28" s="64"/>
      <c r="L28" s="64"/>
      <c r="M28" s="64"/>
      <c r="N28" s="64"/>
      <c r="O28" s="64"/>
    </row>
    <row r="29" spans="1:15" ht="12.75">
      <c r="A29" s="41" t="s">
        <v>37</v>
      </c>
      <c r="B29" s="42">
        <v>88</v>
      </c>
      <c r="C29" s="43"/>
      <c r="D29" s="43"/>
      <c r="E29" s="43"/>
      <c r="F29" s="43"/>
      <c r="G29" s="43"/>
      <c r="H29" s="43"/>
      <c r="I29" s="43"/>
      <c r="J29" s="44">
        <f t="shared" si="0"/>
        <v>0</v>
      </c>
      <c r="K29" s="64"/>
      <c r="L29" s="64"/>
      <c r="M29" s="64"/>
      <c r="N29" s="64"/>
      <c r="O29" s="64"/>
    </row>
    <row r="30" spans="1:15" ht="12.75">
      <c r="A30" s="41" t="s">
        <v>40</v>
      </c>
      <c r="B30" s="42">
        <v>89</v>
      </c>
      <c r="C30" s="43"/>
      <c r="D30" s="43"/>
      <c r="E30" s="43"/>
      <c r="F30" s="43"/>
      <c r="G30" s="43"/>
      <c r="H30" s="43"/>
      <c r="I30" s="43"/>
      <c r="J30" s="44">
        <f t="shared" si="0"/>
        <v>0</v>
      </c>
      <c r="K30" s="64"/>
      <c r="L30" s="64"/>
      <c r="M30" s="64"/>
      <c r="N30" s="64"/>
      <c r="O30" s="64"/>
    </row>
    <row r="31" spans="1:15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4">
        <f t="shared" si="0"/>
        <v>0</v>
      </c>
      <c r="K31" s="64"/>
      <c r="L31" s="64"/>
      <c r="M31" s="64"/>
      <c r="N31" s="64"/>
      <c r="O31" s="64"/>
    </row>
    <row r="32" spans="1:15" s="48" customFormat="1" ht="12.75">
      <c r="A32" s="46" t="s">
        <v>73</v>
      </c>
      <c r="B32" s="42">
        <v>92</v>
      </c>
      <c r="C32" s="47">
        <f aca="true" t="shared" si="1" ref="C32:I32">SUM(C12:C31)</f>
        <v>0</v>
      </c>
      <c r="D32" s="47">
        <f>SUM(D12:D31)</f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4">
        <f t="shared" si="0"/>
        <v>0</v>
      </c>
      <c r="K32" s="126"/>
      <c r="L32" s="126"/>
      <c r="M32" s="126"/>
      <c r="N32" s="126"/>
      <c r="O32" s="126"/>
    </row>
    <row r="33" spans="1:15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4">
        <f t="shared" si="0"/>
        <v>0</v>
      </c>
      <c r="K33" s="64"/>
      <c r="L33" s="64"/>
      <c r="M33" s="64"/>
      <c r="N33" s="64"/>
      <c r="O33" s="64"/>
    </row>
    <row r="34" spans="1:15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4">
        <f t="shared" si="0"/>
        <v>0</v>
      </c>
      <c r="K34" s="64"/>
      <c r="L34" s="64"/>
      <c r="M34" s="64"/>
      <c r="N34" s="64"/>
      <c r="O34" s="64"/>
    </row>
    <row r="35" spans="1:15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4">
        <f t="shared" si="0"/>
        <v>0</v>
      </c>
      <c r="K35" s="64"/>
      <c r="L35" s="64"/>
      <c r="M35" s="64"/>
      <c r="N35" s="64"/>
      <c r="O35" s="64"/>
    </row>
    <row r="36" spans="1:15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4">
        <f t="shared" si="0"/>
        <v>0</v>
      </c>
      <c r="K36" s="64"/>
      <c r="L36" s="64"/>
      <c r="M36" s="64"/>
      <c r="N36" s="64"/>
      <c r="O36" s="64"/>
    </row>
    <row r="37" spans="1:15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4">
        <f t="shared" si="0"/>
        <v>0</v>
      </c>
      <c r="K37" s="64"/>
      <c r="L37" s="64"/>
      <c r="M37" s="64"/>
      <c r="N37" s="64"/>
      <c r="O37" s="64"/>
    </row>
    <row r="38" spans="1:15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4">
        <f t="shared" si="0"/>
        <v>0</v>
      </c>
      <c r="K38" s="64"/>
      <c r="L38" s="64"/>
      <c r="M38" s="64"/>
      <c r="N38" s="64"/>
      <c r="O38" s="64"/>
    </row>
    <row r="39" spans="1:15" s="48" customFormat="1" ht="12.75">
      <c r="A39" s="46" t="s">
        <v>72</v>
      </c>
      <c r="B39" s="42">
        <v>110</v>
      </c>
      <c r="C39" s="47">
        <f aca="true" t="shared" si="2" ref="C39:I39">SUM(C33:C38)</f>
        <v>0</v>
      </c>
      <c r="D39" s="47">
        <f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4">
        <f t="shared" si="0"/>
        <v>0</v>
      </c>
      <c r="K39" s="126"/>
      <c r="L39" s="126"/>
      <c r="M39" s="126"/>
      <c r="N39" s="126"/>
      <c r="O39" s="126"/>
    </row>
    <row r="40" spans="1:15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4">
        <f t="shared" si="0"/>
        <v>0</v>
      </c>
      <c r="K40" s="64"/>
      <c r="L40" s="64"/>
      <c r="M40" s="64"/>
      <c r="N40" s="64"/>
      <c r="O40" s="64"/>
    </row>
    <row r="41" spans="1:15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4">
        <f t="shared" si="0"/>
        <v>0</v>
      </c>
      <c r="K41" s="64"/>
      <c r="L41" s="64"/>
      <c r="M41" s="64"/>
      <c r="N41" s="64"/>
      <c r="O41" s="64"/>
    </row>
    <row r="42" spans="1:15" ht="12.75">
      <c r="A42" s="50" t="s">
        <v>59</v>
      </c>
      <c r="B42" s="42">
        <v>113</v>
      </c>
      <c r="C42" s="43"/>
      <c r="D42" s="43"/>
      <c r="E42" s="43"/>
      <c r="F42" s="43"/>
      <c r="G42" s="43"/>
      <c r="H42" s="43"/>
      <c r="I42" s="43"/>
      <c r="J42" s="44">
        <f t="shared" si="0"/>
        <v>0</v>
      </c>
      <c r="K42" s="64"/>
      <c r="L42" s="64"/>
      <c r="M42" s="64"/>
      <c r="N42" s="64"/>
      <c r="O42" s="64"/>
    </row>
    <row r="43" spans="1:15" ht="12.75">
      <c r="A43" s="50" t="s">
        <v>60</v>
      </c>
      <c r="B43" s="42">
        <v>114</v>
      </c>
      <c r="C43" s="43"/>
      <c r="D43" s="43"/>
      <c r="E43" s="43"/>
      <c r="F43" s="43"/>
      <c r="G43" s="43"/>
      <c r="H43" s="43"/>
      <c r="I43" s="43"/>
      <c r="J43" s="44">
        <f t="shared" si="0"/>
        <v>0</v>
      </c>
      <c r="K43" s="64"/>
      <c r="L43" s="64"/>
      <c r="M43" s="64"/>
      <c r="N43" s="64"/>
      <c r="O43" s="64"/>
    </row>
    <row r="44" spans="1:15" ht="12.75">
      <c r="A44" s="50" t="s">
        <v>61</v>
      </c>
      <c r="B44" s="42">
        <v>115</v>
      </c>
      <c r="C44" s="43"/>
      <c r="D44" s="43"/>
      <c r="E44" s="43"/>
      <c r="F44" s="43"/>
      <c r="G44" s="43"/>
      <c r="H44" s="43"/>
      <c r="I44" s="43"/>
      <c r="J44" s="44">
        <f t="shared" si="0"/>
        <v>0</v>
      </c>
      <c r="K44" s="64"/>
      <c r="L44" s="64"/>
      <c r="M44" s="64"/>
      <c r="N44" s="64"/>
      <c r="O44" s="64"/>
    </row>
    <row r="45" spans="1:15" ht="12.75">
      <c r="A45" s="50" t="s">
        <v>62</v>
      </c>
      <c r="B45" s="42">
        <v>119</v>
      </c>
      <c r="C45" s="43"/>
      <c r="D45" s="43"/>
      <c r="E45" s="43"/>
      <c r="F45" s="43"/>
      <c r="G45" s="43"/>
      <c r="H45" s="43"/>
      <c r="I45" s="43"/>
      <c r="J45" s="44">
        <f t="shared" si="0"/>
        <v>0</v>
      </c>
      <c r="K45" s="64"/>
      <c r="L45" s="64"/>
      <c r="M45" s="64"/>
      <c r="N45" s="64"/>
      <c r="O45" s="64"/>
    </row>
    <row r="46" spans="1:15" ht="12.75">
      <c r="A46" s="50" t="s">
        <v>63</v>
      </c>
      <c r="B46" s="42">
        <v>120</v>
      </c>
      <c r="C46" s="43"/>
      <c r="D46" s="43"/>
      <c r="E46" s="43"/>
      <c r="F46" s="43"/>
      <c r="G46" s="43"/>
      <c r="H46" s="43"/>
      <c r="I46" s="43"/>
      <c r="J46" s="44">
        <f t="shared" si="0"/>
        <v>0</v>
      </c>
      <c r="K46" s="64"/>
      <c r="L46" s="64"/>
      <c r="M46" s="64"/>
      <c r="N46" s="64"/>
      <c r="O46" s="64"/>
    </row>
    <row r="47" spans="1:15" s="48" customFormat="1" ht="12.75">
      <c r="A47" s="46" t="s">
        <v>74</v>
      </c>
      <c r="B47" s="47">
        <v>121</v>
      </c>
      <c r="C47" s="47">
        <f aca="true" t="shared" si="3" ref="C47:I47">SUM(C40:C46)</f>
        <v>0</v>
      </c>
      <c r="D47" s="47">
        <f>SUM(D40:D46)</f>
        <v>0</v>
      </c>
      <c r="E47" s="47">
        <f t="shared" si="3"/>
        <v>0</v>
      </c>
      <c r="F47" s="47">
        <f t="shared" si="3"/>
        <v>0</v>
      </c>
      <c r="G47" s="47">
        <f t="shared" si="3"/>
        <v>0</v>
      </c>
      <c r="H47" s="47">
        <f t="shared" si="3"/>
        <v>0</v>
      </c>
      <c r="I47" s="47">
        <f t="shared" si="3"/>
        <v>0</v>
      </c>
      <c r="J47" s="44">
        <f t="shared" si="0"/>
        <v>0</v>
      </c>
      <c r="K47" s="126"/>
      <c r="L47" s="126"/>
      <c r="M47" s="126"/>
      <c r="N47" s="126"/>
      <c r="O47" s="126"/>
    </row>
    <row r="48" spans="1:15" s="48" customFormat="1" ht="12.75">
      <c r="A48" s="46" t="s">
        <v>119</v>
      </c>
      <c r="B48" s="47">
        <v>152</v>
      </c>
      <c r="C48" s="47">
        <f aca="true" t="shared" si="4" ref="C48:I48">C32+C39+C47</f>
        <v>0</v>
      </c>
      <c r="D48" s="47">
        <f>D32+D39+D47</f>
        <v>0</v>
      </c>
      <c r="E48" s="47">
        <f t="shared" si="4"/>
        <v>0</v>
      </c>
      <c r="F48" s="47">
        <f t="shared" si="4"/>
        <v>0</v>
      </c>
      <c r="G48" s="47">
        <f t="shared" si="4"/>
        <v>0</v>
      </c>
      <c r="H48" s="47">
        <f t="shared" si="4"/>
        <v>0</v>
      </c>
      <c r="I48" s="47">
        <f t="shared" si="4"/>
        <v>0</v>
      </c>
      <c r="J48" s="44">
        <f t="shared" si="0"/>
        <v>0</v>
      </c>
      <c r="K48" s="126"/>
      <c r="L48" s="126"/>
      <c r="M48" s="126"/>
      <c r="N48" s="126"/>
      <c r="O48" s="126"/>
    </row>
    <row r="49" spans="1:15" s="48" customFormat="1" ht="12.75">
      <c r="A49" s="46" t="s">
        <v>51</v>
      </c>
      <c r="B49" s="47">
        <v>158</v>
      </c>
      <c r="C49" s="51"/>
      <c r="D49" s="51"/>
      <c r="E49" s="51"/>
      <c r="F49" s="51"/>
      <c r="G49" s="51"/>
      <c r="H49" s="51"/>
      <c r="I49" s="51"/>
      <c r="J49" s="44">
        <f t="shared" si="0"/>
        <v>0</v>
      </c>
      <c r="K49" s="126"/>
      <c r="L49" s="126"/>
      <c r="M49" s="126"/>
      <c r="N49" s="126"/>
      <c r="O49" s="126"/>
    </row>
    <row r="50" spans="1:15" s="48" customFormat="1" ht="12.75">
      <c r="A50" s="46" t="s">
        <v>75</v>
      </c>
      <c r="B50" s="47">
        <v>159</v>
      </c>
      <c r="C50" s="47">
        <f aca="true" t="shared" si="5" ref="C50:I50">C48+C49</f>
        <v>0</v>
      </c>
      <c r="D50" s="47">
        <f>D48+D49</f>
        <v>0</v>
      </c>
      <c r="E50" s="47">
        <f t="shared" si="5"/>
        <v>0</v>
      </c>
      <c r="F50" s="47">
        <f t="shared" si="5"/>
        <v>0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4">
        <f t="shared" si="0"/>
        <v>0</v>
      </c>
      <c r="K50" s="126"/>
      <c r="L50" s="126"/>
      <c r="M50" s="126"/>
      <c r="N50" s="126"/>
      <c r="O50" s="126"/>
    </row>
    <row r="51" spans="1:14" s="48" customFormat="1" ht="12.75">
      <c r="A51" s="113"/>
      <c r="B51" s="114"/>
      <c r="C51" s="114"/>
      <c r="D51" s="114"/>
      <c r="E51" s="114"/>
      <c r="F51" s="114"/>
      <c r="G51" s="114"/>
      <c r="H51" s="114"/>
      <c r="I51" s="114"/>
      <c r="J51" s="115"/>
      <c r="K51" s="52"/>
      <c r="L51" s="52"/>
      <c r="M51" s="52"/>
      <c r="N51" s="52"/>
    </row>
    <row r="52" spans="1:14" s="48" customFormat="1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39"/>
      <c r="N52" s="135"/>
    </row>
    <row r="53" spans="1:14" s="48" customFormat="1" ht="12.75">
      <c r="A53" s="178" t="s">
        <v>3</v>
      </c>
      <c r="B53" s="136" t="s">
        <v>49</v>
      </c>
      <c r="C53" s="137" t="s">
        <v>188</v>
      </c>
      <c r="D53" s="137" t="s">
        <v>189</v>
      </c>
      <c r="E53" s="137" t="s">
        <v>106</v>
      </c>
      <c r="F53" s="137" t="s">
        <v>190</v>
      </c>
      <c r="G53" s="137" t="s">
        <v>191</v>
      </c>
      <c r="H53" s="137" t="s">
        <v>192</v>
      </c>
      <c r="I53" s="137" t="s">
        <v>192</v>
      </c>
      <c r="J53" s="137" t="s">
        <v>192</v>
      </c>
      <c r="K53" s="191" t="s">
        <v>160</v>
      </c>
      <c r="L53" s="192"/>
      <c r="M53" s="127"/>
      <c r="N53" s="128"/>
    </row>
    <row r="54" spans="1:14" s="48" customFormat="1" ht="12.75">
      <c r="A54" s="179"/>
      <c r="B54" s="54" t="s">
        <v>50</v>
      </c>
      <c r="C54" s="55" t="s">
        <v>105</v>
      </c>
      <c r="D54" s="55" t="s">
        <v>105</v>
      </c>
      <c r="E54" s="55" t="s">
        <v>105</v>
      </c>
      <c r="F54" s="55" t="s">
        <v>109</v>
      </c>
      <c r="G54" s="55" t="s">
        <v>109</v>
      </c>
      <c r="H54" s="55" t="s">
        <v>193</v>
      </c>
      <c r="I54" s="55" t="s">
        <v>194</v>
      </c>
      <c r="J54" s="117" t="s">
        <v>114</v>
      </c>
      <c r="K54" s="54" t="s">
        <v>162</v>
      </c>
      <c r="L54" s="129" t="s">
        <v>161</v>
      </c>
      <c r="M54" s="127"/>
      <c r="N54" s="128"/>
    </row>
    <row r="55" spans="1:16" s="48" customFormat="1" ht="12.75">
      <c r="A55" s="56"/>
      <c r="B55" s="57">
        <f>IF(A55="","",VLOOKUP(A55,$A$12:$B$50,2,FALSE))</f>
      </c>
      <c r="C55" s="57"/>
      <c r="D55" s="57"/>
      <c r="E55" s="57"/>
      <c r="F55" s="57"/>
      <c r="G55" s="57"/>
      <c r="H55" s="57"/>
      <c r="I55" s="57"/>
      <c r="J55" s="130"/>
      <c r="K55" s="57"/>
      <c r="L55" s="58"/>
      <c r="M55" s="131"/>
      <c r="N55" s="114"/>
      <c r="O55" s="116"/>
      <c r="P55" s="132"/>
    </row>
    <row r="56" spans="1:16" s="48" customFormat="1" ht="12.75">
      <c r="A56" s="60"/>
      <c r="B56" s="61">
        <f>IF(A56="","",VLOOKUP(A56,$A$12:$B$50,2,FALSE))</f>
      </c>
      <c r="C56" s="61"/>
      <c r="D56" s="61"/>
      <c r="E56" s="61"/>
      <c r="F56" s="61"/>
      <c r="G56" s="61"/>
      <c r="H56" s="61"/>
      <c r="I56" s="61"/>
      <c r="J56" s="133"/>
      <c r="K56" s="61"/>
      <c r="L56" s="62"/>
      <c r="M56" s="131"/>
      <c r="N56" s="114"/>
      <c r="O56" s="116"/>
      <c r="P56" s="132"/>
    </row>
    <row r="57" spans="1:16" s="48" customFormat="1" ht="12.75">
      <c r="A57" s="60"/>
      <c r="B57" s="61">
        <f>IF(A57="","",VLOOKUP(A57,$A$12:$B$50,2,FALSE))</f>
      </c>
      <c r="C57" s="61"/>
      <c r="D57" s="61"/>
      <c r="E57" s="61"/>
      <c r="F57" s="61"/>
      <c r="G57" s="61"/>
      <c r="H57" s="61"/>
      <c r="I57" s="61"/>
      <c r="J57" s="133"/>
      <c r="K57" s="61"/>
      <c r="L57" s="62"/>
      <c r="M57" s="131"/>
      <c r="N57" s="114"/>
      <c r="O57" s="116"/>
      <c r="P57" s="132"/>
    </row>
    <row r="58" spans="1:16" ht="12.75">
      <c r="A58" s="60"/>
      <c r="B58" s="61">
        <f>IF(A58="","",VLOOKUP(A58,$A$12:$B$50,2,FALSE))</f>
      </c>
      <c r="C58" s="61"/>
      <c r="D58" s="61"/>
      <c r="E58" s="61"/>
      <c r="F58" s="61"/>
      <c r="G58" s="61"/>
      <c r="H58" s="61"/>
      <c r="I58" s="61"/>
      <c r="J58" s="61"/>
      <c r="K58" s="61"/>
      <c r="L58" s="62"/>
      <c r="M58" s="131"/>
      <c r="N58" s="114"/>
      <c r="O58" s="134"/>
      <c r="P58" s="45"/>
    </row>
    <row r="60" spans="1:6" ht="12.75">
      <c r="A60" s="63" t="s">
        <v>21</v>
      </c>
      <c r="B60" s="175"/>
      <c r="C60" s="175"/>
      <c r="D60" s="175"/>
      <c r="E60" s="175"/>
      <c r="F60" s="64"/>
    </row>
    <row r="61" spans="8:9" ht="12.75">
      <c r="H61" s="174"/>
      <c r="I61" s="174"/>
    </row>
    <row r="62" spans="8:9" ht="12.75">
      <c r="H62" s="173" t="s">
        <v>48</v>
      </c>
      <c r="I62" s="173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69"/>
      <c r="L2" s="170"/>
    </row>
    <row r="3" spans="1:12" ht="12.75">
      <c r="A3" s="3"/>
      <c r="H3" s="4"/>
      <c r="I3" s="4"/>
      <c r="J3" s="5" t="s">
        <v>77</v>
      </c>
      <c r="K3" s="169"/>
      <c r="L3" s="170"/>
    </row>
    <row r="4" ht="18" customHeight="1">
      <c r="A4" s="6"/>
    </row>
    <row r="5" spans="1:13" ht="18">
      <c r="A5" s="172" t="s">
        <v>82</v>
      </c>
      <c r="B5" s="172"/>
      <c r="C5" s="172"/>
      <c r="D5" s="172"/>
      <c r="E5" s="7" t="s">
        <v>83</v>
      </c>
      <c r="F5" s="171" t="s">
        <v>98</v>
      </c>
      <c r="G5" s="171"/>
      <c r="H5" s="171"/>
      <c r="I5" s="171"/>
      <c r="J5" s="171"/>
      <c r="K5" s="171"/>
      <c r="L5" s="171"/>
      <c r="M5" s="17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5" t="s">
        <v>121</v>
      </c>
      <c r="N7" s="196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9" t="s">
        <v>122</v>
      </c>
      <c r="N9" s="190"/>
    </row>
    <row r="10" spans="1:14" ht="13.5" thickBot="1">
      <c r="A10" s="25"/>
      <c r="B10" s="26"/>
      <c r="C10" s="176" t="s">
        <v>101</v>
      </c>
      <c r="D10" s="177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32"/>
      <c r="N10" s="33"/>
    </row>
    <row r="11" spans="1:14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9"/>
    </row>
    <row r="12" spans="1:14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3"/>
      <c r="K12" s="44">
        <f>SUM(C12:J12)</f>
        <v>0</v>
      </c>
      <c r="L12" s="43"/>
      <c r="M12" s="43"/>
      <c r="N12" s="43"/>
    </row>
    <row r="13" spans="1:14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3"/>
      <c r="K13" s="44">
        <f aca="true" t="shared" si="0" ref="K13:K50">SUM(C13:J13)</f>
        <v>0</v>
      </c>
      <c r="L13" s="43"/>
      <c r="M13" s="43"/>
      <c r="N13" s="43"/>
    </row>
    <row r="14" spans="1:14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3"/>
      <c r="K14" s="44">
        <f t="shared" si="0"/>
        <v>0</v>
      </c>
      <c r="L14" s="43"/>
      <c r="M14" s="43"/>
      <c r="N14" s="43"/>
    </row>
    <row r="15" spans="1:14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3"/>
      <c r="K15" s="44">
        <f t="shared" si="0"/>
        <v>0</v>
      </c>
      <c r="L15" s="43"/>
      <c r="M15" s="43"/>
      <c r="N15" s="43"/>
    </row>
    <row r="16" spans="1:14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3"/>
      <c r="K16" s="44">
        <f t="shared" si="0"/>
        <v>0</v>
      </c>
      <c r="L16" s="43"/>
      <c r="M16" s="43"/>
      <c r="N16" s="43"/>
    </row>
    <row r="17" spans="1:14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3"/>
      <c r="K17" s="44">
        <f t="shared" si="0"/>
        <v>0</v>
      </c>
      <c r="L17" s="43"/>
      <c r="M17" s="43"/>
      <c r="N17" s="43"/>
    </row>
    <row r="18" spans="1:14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3"/>
      <c r="K18" s="44">
        <f t="shared" si="0"/>
        <v>0</v>
      </c>
      <c r="L18" s="43"/>
      <c r="M18" s="43"/>
      <c r="N18" s="43"/>
    </row>
    <row r="19" spans="1:14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3"/>
      <c r="K19" s="44">
        <f t="shared" si="0"/>
        <v>0</v>
      </c>
      <c r="L19" s="43"/>
      <c r="M19" s="43"/>
      <c r="N19" s="43"/>
    </row>
    <row r="20" spans="1:14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3"/>
      <c r="K20" s="44">
        <f t="shared" si="0"/>
        <v>0</v>
      </c>
      <c r="L20" s="43"/>
      <c r="M20" s="43"/>
      <c r="N20" s="43"/>
    </row>
    <row r="21" spans="1:14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3"/>
      <c r="K21" s="44">
        <f t="shared" si="0"/>
        <v>0</v>
      </c>
      <c r="L21" s="43"/>
      <c r="M21" s="43"/>
      <c r="N21" s="43"/>
    </row>
    <row r="22" spans="1:21" s="45" customFormat="1" ht="12.75" customHeight="1">
      <c r="A22" s="41" t="s">
        <v>38</v>
      </c>
      <c r="B22" s="42">
        <v>81</v>
      </c>
      <c r="C22" s="43"/>
      <c r="D22" s="43"/>
      <c r="E22" s="43"/>
      <c r="F22" s="43"/>
      <c r="G22" s="43"/>
      <c r="H22" s="43"/>
      <c r="I22" s="43"/>
      <c r="J22" s="43"/>
      <c r="K22" s="44">
        <f t="shared" si="0"/>
        <v>0</v>
      </c>
      <c r="L22" s="43"/>
      <c r="M22" s="43"/>
      <c r="N22" s="43"/>
      <c r="O22" s="2"/>
      <c r="P22" s="2"/>
      <c r="Q22" s="2"/>
      <c r="R22" s="2"/>
      <c r="S22" s="2"/>
      <c r="T22" s="2"/>
      <c r="U22" s="2"/>
    </row>
    <row r="23" spans="1:14" ht="12.75">
      <c r="A23" s="41" t="s">
        <v>39</v>
      </c>
      <c r="B23" s="42">
        <v>82</v>
      </c>
      <c r="C23" s="43"/>
      <c r="D23" s="43"/>
      <c r="E23" s="43"/>
      <c r="F23" s="43"/>
      <c r="G23" s="43"/>
      <c r="H23" s="43"/>
      <c r="I23" s="43"/>
      <c r="J23" s="43"/>
      <c r="K23" s="44">
        <f t="shared" si="0"/>
        <v>0</v>
      </c>
      <c r="L23" s="43"/>
      <c r="M23" s="43"/>
      <c r="N23" s="43"/>
    </row>
    <row r="24" spans="1:14" ht="12.75">
      <c r="A24" s="41" t="s">
        <v>32</v>
      </c>
      <c r="B24" s="42">
        <v>83</v>
      </c>
      <c r="C24" s="43"/>
      <c r="D24" s="43"/>
      <c r="E24" s="43"/>
      <c r="F24" s="43"/>
      <c r="G24" s="43"/>
      <c r="H24" s="43"/>
      <c r="I24" s="43"/>
      <c r="J24" s="43"/>
      <c r="K24" s="44">
        <f t="shared" si="0"/>
        <v>0</v>
      </c>
      <c r="L24" s="43"/>
      <c r="M24" s="43"/>
      <c r="N24" s="43"/>
    </row>
    <row r="25" spans="1:14" ht="12.75">
      <c r="A25" s="41" t="s">
        <v>33</v>
      </c>
      <c r="B25" s="42">
        <v>84</v>
      </c>
      <c r="C25" s="43"/>
      <c r="D25" s="43"/>
      <c r="E25" s="43"/>
      <c r="F25" s="43"/>
      <c r="G25" s="43"/>
      <c r="H25" s="43"/>
      <c r="I25" s="43"/>
      <c r="J25" s="43"/>
      <c r="K25" s="44">
        <f t="shared" si="0"/>
        <v>0</v>
      </c>
      <c r="L25" s="43"/>
      <c r="M25" s="43"/>
      <c r="N25" s="43"/>
    </row>
    <row r="26" spans="1:14" ht="12.75">
      <c r="A26" s="41" t="s">
        <v>34</v>
      </c>
      <c r="B26" s="42">
        <v>85</v>
      </c>
      <c r="C26" s="43"/>
      <c r="D26" s="43"/>
      <c r="E26" s="43"/>
      <c r="F26" s="43"/>
      <c r="G26" s="43"/>
      <c r="H26" s="43"/>
      <c r="I26" s="43"/>
      <c r="J26" s="43"/>
      <c r="K26" s="44">
        <f t="shared" si="0"/>
        <v>0</v>
      </c>
      <c r="L26" s="43"/>
      <c r="M26" s="43"/>
      <c r="N26" s="43"/>
    </row>
    <row r="27" spans="1:14" ht="12.75">
      <c r="A27" s="41" t="s">
        <v>35</v>
      </c>
      <c r="B27" s="42">
        <v>86</v>
      </c>
      <c r="C27" s="43"/>
      <c r="D27" s="43"/>
      <c r="E27" s="43"/>
      <c r="F27" s="43"/>
      <c r="G27" s="43"/>
      <c r="H27" s="43"/>
      <c r="I27" s="43"/>
      <c r="J27" s="43"/>
      <c r="K27" s="44">
        <f t="shared" si="0"/>
        <v>0</v>
      </c>
      <c r="L27" s="43"/>
      <c r="M27" s="43"/>
      <c r="N27" s="43"/>
    </row>
    <row r="28" spans="1:14" ht="12.75">
      <c r="A28" s="41" t="s">
        <v>36</v>
      </c>
      <c r="B28" s="42">
        <v>87</v>
      </c>
      <c r="C28" s="43"/>
      <c r="D28" s="43"/>
      <c r="E28" s="43"/>
      <c r="F28" s="43"/>
      <c r="G28" s="43"/>
      <c r="H28" s="43"/>
      <c r="I28" s="43"/>
      <c r="J28" s="43"/>
      <c r="K28" s="44">
        <f t="shared" si="0"/>
        <v>0</v>
      </c>
      <c r="L28" s="43"/>
      <c r="M28" s="43"/>
      <c r="N28" s="43"/>
    </row>
    <row r="29" spans="1:14" ht="12.75">
      <c r="A29" s="41" t="s">
        <v>37</v>
      </c>
      <c r="B29" s="42">
        <v>88</v>
      </c>
      <c r="C29" s="43"/>
      <c r="D29" s="43"/>
      <c r="E29" s="43"/>
      <c r="F29" s="43"/>
      <c r="G29" s="43"/>
      <c r="H29" s="43"/>
      <c r="I29" s="43"/>
      <c r="J29" s="43"/>
      <c r="K29" s="44">
        <f t="shared" si="0"/>
        <v>0</v>
      </c>
      <c r="L29" s="43"/>
      <c r="M29" s="43"/>
      <c r="N29" s="43"/>
    </row>
    <row r="30" spans="1:14" ht="12.75">
      <c r="A30" s="41" t="s">
        <v>40</v>
      </c>
      <c r="B30" s="42">
        <v>89</v>
      </c>
      <c r="C30" s="43"/>
      <c r="D30" s="43"/>
      <c r="E30" s="43"/>
      <c r="F30" s="43"/>
      <c r="G30" s="43"/>
      <c r="H30" s="43"/>
      <c r="I30" s="43"/>
      <c r="J30" s="43"/>
      <c r="K30" s="44">
        <f t="shared" si="0"/>
        <v>0</v>
      </c>
      <c r="L30" s="43"/>
      <c r="M30" s="43"/>
      <c r="N30" s="43"/>
    </row>
    <row r="31" spans="1:14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3"/>
      <c r="K31" s="44">
        <f t="shared" si="0"/>
        <v>0</v>
      </c>
      <c r="L31" s="43"/>
      <c r="M31" s="43"/>
      <c r="N31" s="43"/>
    </row>
    <row r="32" spans="1:14" s="48" customFormat="1" ht="12.75">
      <c r="A32" s="46" t="s">
        <v>73</v>
      </c>
      <c r="B32" s="42">
        <v>92</v>
      </c>
      <c r="C32" s="47">
        <f>SUM(C12:C31)</f>
        <v>0</v>
      </c>
      <c r="D32" s="47">
        <f aca="true" t="shared" si="1" ref="D32:J32">SUM(D12:D31)</f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7">
        <f t="shared" si="1"/>
        <v>0</v>
      </c>
      <c r="K32" s="44">
        <f t="shared" si="0"/>
        <v>0</v>
      </c>
      <c r="L32" s="47">
        <f>SUM(L12:L31)</f>
        <v>0</v>
      </c>
      <c r="M32" s="47">
        <f>SUM(M12:M31)</f>
        <v>0</v>
      </c>
      <c r="N32" s="47">
        <f>SUM(N12:N31)</f>
        <v>0</v>
      </c>
    </row>
    <row r="33" spans="1:14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3"/>
      <c r="K33" s="44">
        <f t="shared" si="0"/>
        <v>0</v>
      </c>
      <c r="L33" s="43"/>
      <c r="M33" s="43"/>
      <c r="N33" s="43"/>
    </row>
    <row r="34" spans="1:14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3"/>
      <c r="K34" s="44">
        <f t="shared" si="0"/>
        <v>0</v>
      </c>
      <c r="L34" s="43"/>
      <c r="M34" s="43"/>
      <c r="N34" s="43"/>
    </row>
    <row r="35" spans="1:14" s="48" customFormat="1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3"/>
      <c r="K35" s="44">
        <f t="shared" si="0"/>
        <v>0</v>
      </c>
      <c r="L35" s="43"/>
      <c r="M35" s="43"/>
      <c r="N35" s="43"/>
    </row>
    <row r="36" spans="1:14" s="48" customFormat="1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3"/>
      <c r="K36" s="44">
        <f t="shared" si="0"/>
        <v>0</v>
      </c>
      <c r="L36" s="43"/>
      <c r="M36" s="43"/>
      <c r="N36" s="43"/>
    </row>
    <row r="37" spans="1:14" s="48" customFormat="1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3"/>
      <c r="K37" s="44">
        <f t="shared" si="0"/>
        <v>0</v>
      </c>
      <c r="L37" s="43"/>
      <c r="M37" s="43"/>
      <c r="N37" s="43"/>
    </row>
    <row r="38" spans="1:14" s="112" customFormat="1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3"/>
      <c r="K38" s="44">
        <f t="shared" si="0"/>
        <v>0</v>
      </c>
      <c r="L38" s="43"/>
      <c r="M38" s="43"/>
      <c r="N38" s="43"/>
    </row>
    <row r="39" spans="1:14" ht="12.75">
      <c r="A39" s="46" t="s">
        <v>72</v>
      </c>
      <c r="B39" s="42">
        <v>110</v>
      </c>
      <c r="C39" s="47">
        <f>SUM(C33:C38)</f>
        <v>0</v>
      </c>
      <c r="D39" s="47">
        <f aca="true" t="shared" si="2" ref="D39:J39"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44">
        <f t="shared" si="0"/>
        <v>0</v>
      </c>
      <c r="L39" s="47">
        <f>SUM(L33:L38)</f>
        <v>0</v>
      </c>
      <c r="M39" s="47">
        <f>SUM(M33:M38)</f>
        <v>0</v>
      </c>
      <c r="N39" s="47">
        <f>SUM(N33:N38)</f>
        <v>0</v>
      </c>
    </row>
    <row r="40" spans="1:14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3"/>
      <c r="K40" s="44">
        <f t="shared" si="0"/>
        <v>0</v>
      </c>
      <c r="L40" s="43"/>
      <c r="M40" s="43"/>
      <c r="N40" s="43"/>
    </row>
    <row r="41" spans="1:14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3"/>
      <c r="K41" s="44">
        <f t="shared" si="0"/>
        <v>0</v>
      </c>
      <c r="L41" s="43"/>
      <c r="M41" s="43"/>
      <c r="N41" s="43"/>
    </row>
    <row r="42" spans="1:14" ht="12.75">
      <c r="A42" s="50" t="s">
        <v>59</v>
      </c>
      <c r="B42" s="42">
        <v>113</v>
      </c>
      <c r="C42" s="43"/>
      <c r="D42" s="43"/>
      <c r="E42" s="43"/>
      <c r="F42" s="43"/>
      <c r="G42" s="43"/>
      <c r="H42" s="43"/>
      <c r="I42" s="43"/>
      <c r="J42" s="43"/>
      <c r="K42" s="44">
        <f t="shared" si="0"/>
        <v>0</v>
      </c>
      <c r="L42" s="43"/>
      <c r="M42" s="43"/>
      <c r="N42" s="43"/>
    </row>
    <row r="43" spans="1:14" ht="12.75">
      <c r="A43" s="50" t="s">
        <v>60</v>
      </c>
      <c r="B43" s="42">
        <v>114</v>
      </c>
      <c r="C43" s="43"/>
      <c r="D43" s="43"/>
      <c r="E43" s="43"/>
      <c r="F43" s="43"/>
      <c r="G43" s="43"/>
      <c r="H43" s="43"/>
      <c r="I43" s="43"/>
      <c r="J43" s="43"/>
      <c r="K43" s="44">
        <f t="shared" si="0"/>
        <v>0</v>
      </c>
      <c r="L43" s="43"/>
      <c r="M43" s="43"/>
      <c r="N43" s="43"/>
    </row>
    <row r="44" spans="1:14" ht="12.75">
      <c r="A44" s="50" t="s">
        <v>61</v>
      </c>
      <c r="B44" s="42">
        <v>115</v>
      </c>
      <c r="C44" s="43"/>
      <c r="D44" s="43"/>
      <c r="E44" s="43"/>
      <c r="F44" s="43"/>
      <c r="G44" s="43"/>
      <c r="H44" s="43"/>
      <c r="I44" s="43"/>
      <c r="J44" s="43"/>
      <c r="K44" s="44">
        <f t="shared" si="0"/>
        <v>0</v>
      </c>
      <c r="L44" s="43"/>
      <c r="M44" s="43"/>
      <c r="N44" s="43"/>
    </row>
    <row r="45" spans="1:14" ht="12.75">
      <c r="A45" s="50" t="s">
        <v>62</v>
      </c>
      <c r="B45" s="42">
        <v>119</v>
      </c>
      <c r="C45" s="43"/>
      <c r="D45" s="43"/>
      <c r="E45" s="43"/>
      <c r="F45" s="43"/>
      <c r="G45" s="43"/>
      <c r="H45" s="43"/>
      <c r="I45" s="43"/>
      <c r="J45" s="43"/>
      <c r="K45" s="44">
        <f t="shared" si="0"/>
        <v>0</v>
      </c>
      <c r="L45" s="43"/>
      <c r="M45" s="43"/>
      <c r="N45" s="43"/>
    </row>
    <row r="46" spans="1:14" ht="12.75">
      <c r="A46" s="50" t="s">
        <v>63</v>
      </c>
      <c r="B46" s="42">
        <v>120</v>
      </c>
      <c r="C46" s="43"/>
      <c r="D46" s="43"/>
      <c r="E46" s="43"/>
      <c r="F46" s="43"/>
      <c r="G46" s="43"/>
      <c r="H46" s="43"/>
      <c r="I46" s="43"/>
      <c r="J46" s="43"/>
      <c r="K46" s="44">
        <f t="shared" si="0"/>
        <v>0</v>
      </c>
      <c r="L46" s="43"/>
      <c r="M46" s="43"/>
      <c r="N46" s="43"/>
    </row>
    <row r="47" spans="1:14" ht="12.75">
      <c r="A47" s="46" t="s">
        <v>74</v>
      </c>
      <c r="B47" s="47">
        <v>121</v>
      </c>
      <c r="C47" s="47">
        <f>SUM(C40:C46)</f>
        <v>0</v>
      </c>
      <c r="D47" s="47">
        <f aca="true" t="shared" si="3" ref="D47:J47">SUM(D40:D46)</f>
        <v>0</v>
      </c>
      <c r="E47" s="47">
        <f t="shared" si="3"/>
        <v>0</v>
      </c>
      <c r="F47" s="47">
        <f t="shared" si="3"/>
        <v>0</v>
      </c>
      <c r="G47" s="47">
        <f t="shared" si="3"/>
        <v>0</v>
      </c>
      <c r="H47" s="47">
        <f t="shared" si="3"/>
        <v>0</v>
      </c>
      <c r="I47" s="47">
        <f t="shared" si="3"/>
        <v>0</v>
      </c>
      <c r="J47" s="47">
        <f t="shared" si="3"/>
        <v>0</v>
      </c>
      <c r="K47" s="44">
        <f t="shared" si="0"/>
        <v>0</v>
      </c>
      <c r="L47" s="47">
        <f>SUM(L40:L46)</f>
        <v>0</v>
      </c>
      <c r="M47" s="47">
        <f>SUM(M40:M46)</f>
        <v>0</v>
      </c>
      <c r="N47" s="47">
        <f>SUM(N40:N46)</f>
        <v>0</v>
      </c>
    </row>
    <row r="48" spans="1:14" ht="12.75">
      <c r="A48" s="46" t="s">
        <v>119</v>
      </c>
      <c r="B48" s="47">
        <v>152</v>
      </c>
      <c r="C48" s="47">
        <f>C32+C39+C47</f>
        <v>0</v>
      </c>
      <c r="D48" s="47">
        <f aca="true" t="shared" si="4" ref="D48:J48">D32+D39+D47</f>
        <v>0</v>
      </c>
      <c r="E48" s="47">
        <f t="shared" si="4"/>
        <v>0</v>
      </c>
      <c r="F48" s="47">
        <f t="shared" si="4"/>
        <v>0</v>
      </c>
      <c r="G48" s="47">
        <f t="shared" si="4"/>
        <v>0</v>
      </c>
      <c r="H48" s="47">
        <f t="shared" si="4"/>
        <v>0</v>
      </c>
      <c r="I48" s="47">
        <f t="shared" si="4"/>
        <v>0</v>
      </c>
      <c r="J48" s="47">
        <f t="shared" si="4"/>
        <v>0</v>
      </c>
      <c r="K48" s="44">
        <f t="shared" si="0"/>
        <v>0</v>
      </c>
      <c r="L48" s="47">
        <f>L32+L39+L47</f>
        <v>0</v>
      </c>
      <c r="M48" s="47">
        <f>M32+M39+M47</f>
        <v>0</v>
      </c>
      <c r="N48" s="47">
        <f>N32+N39+N47</f>
        <v>0</v>
      </c>
    </row>
    <row r="49" spans="1:14" ht="12.75">
      <c r="A49" s="46" t="s">
        <v>51</v>
      </c>
      <c r="B49" s="47">
        <v>158</v>
      </c>
      <c r="C49" s="51"/>
      <c r="D49" s="51"/>
      <c r="E49" s="51"/>
      <c r="F49" s="51"/>
      <c r="G49" s="51"/>
      <c r="H49" s="51"/>
      <c r="I49" s="51"/>
      <c r="J49" s="51"/>
      <c r="K49" s="44">
        <f t="shared" si="0"/>
        <v>0</v>
      </c>
      <c r="L49" s="51"/>
      <c r="M49" s="51"/>
      <c r="N49" s="51"/>
    </row>
    <row r="50" spans="1:14" ht="12.75">
      <c r="A50" s="46" t="s">
        <v>75</v>
      </c>
      <c r="B50" s="47">
        <v>159</v>
      </c>
      <c r="C50" s="47">
        <f>C48+C49</f>
        <v>0</v>
      </c>
      <c r="D50" s="47">
        <f aca="true" t="shared" si="5" ref="D50:J50">D48+D49</f>
        <v>0</v>
      </c>
      <c r="E50" s="47">
        <f t="shared" si="5"/>
        <v>0</v>
      </c>
      <c r="F50" s="47">
        <f t="shared" si="5"/>
        <v>0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7">
        <f t="shared" si="5"/>
        <v>0</v>
      </c>
      <c r="K50" s="44">
        <f t="shared" si="0"/>
        <v>0</v>
      </c>
      <c r="L50" s="47">
        <f>L48+L49</f>
        <v>0</v>
      </c>
      <c r="M50" s="47">
        <f>M48+M49</f>
        <v>0</v>
      </c>
      <c r="N50" s="47">
        <f>N48+N49</f>
        <v>0</v>
      </c>
    </row>
    <row r="51" spans="1:14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5"/>
      <c r="L51" s="114"/>
      <c r="M51" s="114"/>
      <c r="N51" s="116"/>
    </row>
    <row r="52" spans="1:14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7"/>
      <c r="N52" s="116"/>
    </row>
    <row r="53" spans="1:14" ht="12.75">
      <c r="A53" s="178" t="s">
        <v>3</v>
      </c>
      <c r="B53" s="136" t="s">
        <v>49</v>
      </c>
      <c r="C53" s="137" t="s">
        <v>4</v>
      </c>
      <c r="D53" s="137" t="s">
        <v>5</v>
      </c>
      <c r="E53" s="137" t="s">
        <v>6</v>
      </c>
      <c r="F53" s="137" t="s">
        <v>80</v>
      </c>
      <c r="G53" s="137" t="s">
        <v>81</v>
      </c>
      <c r="H53" s="137" t="s">
        <v>7</v>
      </c>
      <c r="I53" s="137" t="s">
        <v>42</v>
      </c>
      <c r="J53" s="137" t="s">
        <v>78</v>
      </c>
      <c r="K53" s="138" t="s">
        <v>155</v>
      </c>
      <c r="L53" s="137" t="s">
        <v>157</v>
      </c>
      <c r="M53" s="137" t="s">
        <v>159</v>
      </c>
      <c r="N53" s="116"/>
    </row>
    <row r="54" spans="1:14" ht="12.75">
      <c r="A54" s="179"/>
      <c r="B54" s="54" t="s">
        <v>50</v>
      </c>
      <c r="C54" s="55" t="s">
        <v>9</v>
      </c>
      <c r="D54" s="55" t="s">
        <v>10</v>
      </c>
      <c r="E54" s="55" t="s">
        <v>11</v>
      </c>
      <c r="F54" s="55" t="s">
        <v>10</v>
      </c>
      <c r="G54" s="55" t="s">
        <v>12</v>
      </c>
      <c r="H54" s="55" t="s">
        <v>13</v>
      </c>
      <c r="I54" s="55" t="s">
        <v>43</v>
      </c>
      <c r="J54" s="55" t="s">
        <v>79</v>
      </c>
      <c r="K54" s="117" t="s">
        <v>156</v>
      </c>
      <c r="L54" s="55" t="s">
        <v>158</v>
      </c>
      <c r="M54" s="55" t="s">
        <v>54</v>
      </c>
      <c r="N54" s="116"/>
    </row>
    <row r="55" spans="1:15" ht="12.75">
      <c r="A55" s="56"/>
      <c r="B55" s="57">
        <f>IF(A55="","",VLOOKUP(A55,$A$12:$B$50,2,FALSE))</f>
      </c>
      <c r="C55" s="57"/>
      <c r="D55" s="57"/>
      <c r="E55" s="57"/>
      <c r="F55" s="57"/>
      <c r="G55" s="57"/>
      <c r="H55" s="57"/>
      <c r="I55" s="57"/>
      <c r="J55" s="57"/>
      <c r="K55" s="118"/>
      <c r="L55" s="57"/>
      <c r="M55" s="58"/>
      <c r="N55" s="119"/>
      <c r="O55" s="45"/>
    </row>
    <row r="56" spans="1:15" ht="12.75">
      <c r="A56" s="60"/>
      <c r="B56" s="61">
        <f>IF(A56="","",VLOOKUP(A56,$A$12:$B$50,2,FALSE))</f>
      </c>
      <c r="C56" s="61"/>
      <c r="D56" s="61"/>
      <c r="E56" s="61"/>
      <c r="F56" s="61"/>
      <c r="G56" s="61"/>
      <c r="H56" s="61"/>
      <c r="I56" s="61"/>
      <c r="J56" s="61"/>
      <c r="K56" s="120"/>
      <c r="L56" s="61"/>
      <c r="M56" s="62"/>
      <c r="N56" s="119"/>
      <c r="O56" s="45"/>
    </row>
    <row r="57" spans="1:15" ht="12.75">
      <c r="A57" s="60"/>
      <c r="B57" s="61">
        <f>IF(A57="","",VLOOKUP(A57,$A$12:$B$50,2,FALSE))</f>
      </c>
      <c r="C57" s="61"/>
      <c r="D57" s="61"/>
      <c r="E57" s="61"/>
      <c r="F57" s="61"/>
      <c r="G57" s="61"/>
      <c r="H57" s="61"/>
      <c r="I57" s="61"/>
      <c r="J57" s="61"/>
      <c r="K57" s="120"/>
      <c r="L57" s="61"/>
      <c r="M57" s="62"/>
      <c r="N57" s="119"/>
      <c r="O57" s="45"/>
    </row>
    <row r="58" spans="1:15" ht="12.75">
      <c r="A58" s="60"/>
      <c r="B58" s="61">
        <f>IF(A58="","",VLOOKUP(A58,$A$12:$B$50,2,FALSE))</f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2"/>
      <c r="N58" s="59"/>
      <c r="O58" s="45"/>
    </row>
    <row r="60" spans="1:5" ht="12.75">
      <c r="A60" s="63" t="s">
        <v>21</v>
      </c>
      <c r="B60" s="175"/>
      <c r="C60" s="175"/>
      <c r="D60" s="175"/>
      <c r="E60" s="64"/>
    </row>
    <row r="61" spans="10:11" ht="12.75">
      <c r="J61" s="174"/>
      <c r="K61" s="174"/>
    </row>
    <row r="62" spans="10:11" ht="12.75">
      <c r="J62" s="173" t="s">
        <v>48</v>
      </c>
      <c r="K62" s="173"/>
    </row>
  </sheetData>
  <sheetProtection/>
  <mergeCells count="14">
    <mergeCell ref="A53:A54"/>
    <mergeCell ref="A52:M52"/>
    <mergeCell ref="K3:L3"/>
    <mergeCell ref="K2:L2"/>
    <mergeCell ref="B60:D60"/>
    <mergeCell ref="J61:K61"/>
    <mergeCell ref="J62:K62"/>
    <mergeCell ref="F5:M5"/>
    <mergeCell ref="A5:D5"/>
    <mergeCell ref="C10:D10"/>
    <mergeCell ref="M9:N9"/>
    <mergeCell ref="M7:M8"/>
    <mergeCell ref="N7:N8"/>
    <mergeCell ref="C7:D7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9" ht="12.75">
      <c r="A2" s="3" t="s">
        <v>71</v>
      </c>
      <c r="G2" s="5" t="s">
        <v>0</v>
      </c>
      <c r="H2" s="169"/>
      <c r="I2" s="170"/>
    </row>
    <row r="3" spans="1:9" ht="12.75">
      <c r="A3" s="3"/>
      <c r="G3" s="5" t="s">
        <v>77</v>
      </c>
      <c r="H3" s="169"/>
      <c r="I3" s="170"/>
    </row>
    <row r="4" ht="18" customHeight="1">
      <c r="A4" s="6"/>
    </row>
    <row r="5" spans="1:10" ht="18">
      <c r="A5" s="172" t="s">
        <v>85</v>
      </c>
      <c r="B5" s="172"/>
      <c r="C5" s="172"/>
      <c r="D5" s="172"/>
      <c r="E5" s="172"/>
      <c r="F5" s="7" t="s">
        <v>83</v>
      </c>
      <c r="G5" s="171" t="s">
        <v>175</v>
      </c>
      <c r="H5" s="171"/>
      <c r="I5" s="171"/>
      <c r="J5" s="17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21" t="s">
        <v>115</v>
      </c>
      <c r="E7" s="121"/>
      <c r="F7" s="16" t="s">
        <v>107</v>
      </c>
      <c r="G7" s="16" t="s">
        <v>110</v>
      </c>
      <c r="H7" s="16" t="s">
        <v>112</v>
      </c>
      <c r="I7" s="16" t="s">
        <v>112</v>
      </c>
      <c r="J7" s="122" t="s">
        <v>112</v>
      </c>
    </row>
    <row r="8" spans="1:10" ht="12.75">
      <c r="A8" s="123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4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4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7" t="s">
        <v>181</v>
      </c>
      <c r="G10" s="27" t="s">
        <v>183</v>
      </c>
      <c r="H10" s="27" t="s">
        <v>187</v>
      </c>
      <c r="I10" s="27" t="s">
        <v>184</v>
      </c>
      <c r="J10" s="146" t="s">
        <v>182</v>
      </c>
    </row>
    <row r="11" spans="1:10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125"/>
    </row>
    <row r="12" spans="1:15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4">
        <f>SUM(C12:I12)</f>
        <v>0</v>
      </c>
      <c r="K12" s="64"/>
      <c r="L12" s="64"/>
      <c r="M12" s="64"/>
      <c r="N12" s="64"/>
      <c r="O12" s="64"/>
    </row>
    <row r="13" spans="1:15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4">
        <f aca="true" t="shared" si="0" ref="J13:J50">SUM(C13:I13)</f>
        <v>0</v>
      </c>
      <c r="K13" s="64"/>
      <c r="L13" s="64"/>
      <c r="M13" s="64"/>
      <c r="N13" s="64"/>
      <c r="O13" s="64"/>
    </row>
    <row r="14" spans="1:15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4">
        <f t="shared" si="0"/>
        <v>0</v>
      </c>
      <c r="K14" s="64"/>
      <c r="L14" s="64"/>
      <c r="M14" s="64"/>
      <c r="N14" s="64"/>
      <c r="O14" s="64"/>
    </row>
    <row r="15" spans="1:15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4">
        <f t="shared" si="0"/>
        <v>0</v>
      </c>
      <c r="K15" s="64"/>
      <c r="L15" s="64"/>
      <c r="M15" s="64"/>
      <c r="N15" s="64"/>
      <c r="O15" s="64"/>
    </row>
    <row r="16" spans="1:15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4">
        <f t="shared" si="0"/>
        <v>0</v>
      </c>
      <c r="K16" s="64"/>
      <c r="L16" s="64"/>
      <c r="M16" s="64"/>
      <c r="N16" s="64"/>
      <c r="O16" s="64"/>
    </row>
    <row r="17" spans="1:15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4">
        <f t="shared" si="0"/>
        <v>0</v>
      </c>
      <c r="K17" s="64"/>
      <c r="L17" s="64"/>
      <c r="M17" s="64"/>
      <c r="N17" s="64"/>
      <c r="O17" s="64"/>
    </row>
    <row r="18" spans="1:15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4">
        <f t="shared" si="0"/>
        <v>0</v>
      </c>
      <c r="K18" s="64"/>
      <c r="L18" s="64"/>
      <c r="M18" s="64"/>
      <c r="N18" s="64"/>
      <c r="O18" s="64"/>
    </row>
    <row r="19" spans="1:15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4">
        <f t="shared" si="0"/>
        <v>0</v>
      </c>
      <c r="K19" s="64"/>
      <c r="L19" s="64"/>
      <c r="M19" s="64"/>
      <c r="N19" s="64"/>
      <c r="O19" s="64"/>
    </row>
    <row r="20" spans="1:15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4">
        <f t="shared" si="0"/>
        <v>0</v>
      </c>
      <c r="K20" s="64"/>
      <c r="L20" s="64"/>
      <c r="M20" s="64"/>
      <c r="N20" s="64"/>
      <c r="O20" s="64"/>
    </row>
    <row r="21" spans="1:15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4">
        <f t="shared" si="0"/>
        <v>0</v>
      </c>
      <c r="K21" s="64"/>
      <c r="L21" s="64"/>
      <c r="M21" s="64"/>
      <c r="N21" s="64"/>
      <c r="O21" s="64"/>
    </row>
    <row r="22" spans="1:18" s="45" customFormat="1" ht="12.75" customHeight="1">
      <c r="A22" s="41" t="s">
        <v>38</v>
      </c>
      <c r="B22" s="42">
        <v>81</v>
      </c>
      <c r="C22" s="43"/>
      <c r="D22" s="43"/>
      <c r="E22" s="43"/>
      <c r="F22" s="43"/>
      <c r="G22" s="43"/>
      <c r="H22" s="43"/>
      <c r="I22" s="43"/>
      <c r="J22" s="44">
        <f t="shared" si="0"/>
        <v>0</v>
      </c>
      <c r="K22" s="64"/>
      <c r="L22" s="64"/>
      <c r="M22" s="64"/>
      <c r="N22" s="64"/>
      <c r="O22" s="64"/>
      <c r="P22" s="2"/>
      <c r="Q22" s="2"/>
      <c r="R22" s="2"/>
    </row>
    <row r="23" spans="1:15" ht="12.75">
      <c r="A23" s="41" t="s">
        <v>39</v>
      </c>
      <c r="B23" s="42">
        <v>82</v>
      </c>
      <c r="C23" s="43"/>
      <c r="D23" s="43"/>
      <c r="E23" s="43"/>
      <c r="F23" s="43"/>
      <c r="G23" s="43"/>
      <c r="H23" s="43"/>
      <c r="I23" s="43"/>
      <c r="J23" s="44">
        <f t="shared" si="0"/>
        <v>0</v>
      </c>
      <c r="K23" s="64"/>
      <c r="L23" s="64"/>
      <c r="M23" s="64"/>
      <c r="N23" s="64"/>
      <c r="O23" s="64"/>
    </row>
    <row r="24" spans="1:15" ht="12.75">
      <c r="A24" s="41" t="s">
        <v>32</v>
      </c>
      <c r="B24" s="42">
        <v>83</v>
      </c>
      <c r="C24" s="43"/>
      <c r="D24" s="43"/>
      <c r="E24" s="43"/>
      <c r="F24" s="43"/>
      <c r="G24" s="43"/>
      <c r="H24" s="43"/>
      <c r="I24" s="43"/>
      <c r="J24" s="44">
        <f t="shared" si="0"/>
        <v>0</v>
      </c>
      <c r="K24" s="64"/>
      <c r="L24" s="64"/>
      <c r="M24" s="64"/>
      <c r="N24" s="64"/>
      <c r="O24" s="64"/>
    </row>
    <row r="25" spans="1:15" ht="12.75">
      <c r="A25" s="41" t="s">
        <v>33</v>
      </c>
      <c r="B25" s="42">
        <v>84</v>
      </c>
      <c r="C25" s="43"/>
      <c r="D25" s="43"/>
      <c r="E25" s="43"/>
      <c r="F25" s="43"/>
      <c r="G25" s="43"/>
      <c r="H25" s="43"/>
      <c r="I25" s="43"/>
      <c r="J25" s="44">
        <f t="shared" si="0"/>
        <v>0</v>
      </c>
      <c r="K25" s="64"/>
      <c r="L25" s="64"/>
      <c r="M25" s="64"/>
      <c r="N25" s="64"/>
      <c r="O25" s="64"/>
    </row>
    <row r="26" spans="1:15" ht="12.75">
      <c r="A26" s="41" t="s">
        <v>34</v>
      </c>
      <c r="B26" s="42">
        <v>85</v>
      </c>
      <c r="C26" s="43"/>
      <c r="D26" s="43"/>
      <c r="E26" s="43"/>
      <c r="F26" s="43"/>
      <c r="G26" s="43"/>
      <c r="H26" s="43"/>
      <c r="I26" s="43"/>
      <c r="J26" s="44">
        <f t="shared" si="0"/>
        <v>0</v>
      </c>
      <c r="K26" s="64"/>
      <c r="L26" s="64"/>
      <c r="M26" s="64"/>
      <c r="N26" s="64"/>
      <c r="O26" s="64"/>
    </row>
    <row r="27" spans="1:15" ht="12.75">
      <c r="A27" s="41" t="s">
        <v>35</v>
      </c>
      <c r="B27" s="42">
        <v>86</v>
      </c>
      <c r="C27" s="43"/>
      <c r="D27" s="43"/>
      <c r="E27" s="43"/>
      <c r="F27" s="43"/>
      <c r="G27" s="43"/>
      <c r="H27" s="43"/>
      <c r="I27" s="43"/>
      <c r="J27" s="44">
        <f t="shared" si="0"/>
        <v>0</v>
      </c>
      <c r="K27" s="64"/>
      <c r="L27" s="64"/>
      <c r="M27" s="64"/>
      <c r="N27" s="64"/>
      <c r="O27" s="64"/>
    </row>
    <row r="28" spans="1:15" ht="12.75">
      <c r="A28" s="41" t="s">
        <v>36</v>
      </c>
      <c r="B28" s="42">
        <v>87</v>
      </c>
      <c r="C28" s="43"/>
      <c r="D28" s="43"/>
      <c r="E28" s="43"/>
      <c r="F28" s="43"/>
      <c r="G28" s="43"/>
      <c r="H28" s="43"/>
      <c r="I28" s="43"/>
      <c r="J28" s="44">
        <f t="shared" si="0"/>
        <v>0</v>
      </c>
      <c r="K28" s="64"/>
      <c r="L28" s="64"/>
      <c r="M28" s="64"/>
      <c r="N28" s="64"/>
      <c r="O28" s="64"/>
    </row>
    <row r="29" spans="1:15" ht="12.75">
      <c r="A29" s="41" t="s">
        <v>37</v>
      </c>
      <c r="B29" s="42">
        <v>88</v>
      </c>
      <c r="C29" s="43"/>
      <c r="D29" s="43"/>
      <c r="E29" s="43"/>
      <c r="F29" s="43"/>
      <c r="G29" s="43"/>
      <c r="H29" s="43"/>
      <c r="I29" s="43"/>
      <c r="J29" s="44">
        <f t="shared" si="0"/>
        <v>0</v>
      </c>
      <c r="K29" s="64"/>
      <c r="L29" s="64"/>
      <c r="M29" s="64"/>
      <c r="N29" s="64"/>
      <c r="O29" s="64"/>
    </row>
    <row r="30" spans="1:15" ht="12.75">
      <c r="A30" s="41" t="s">
        <v>40</v>
      </c>
      <c r="B30" s="42">
        <v>89</v>
      </c>
      <c r="C30" s="43"/>
      <c r="D30" s="43"/>
      <c r="E30" s="43"/>
      <c r="F30" s="43"/>
      <c r="G30" s="43"/>
      <c r="H30" s="43"/>
      <c r="I30" s="43"/>
      <c r="J30" s="44">
        <f t="shared" si="0"/>
        <v>0</v>
      </c>
      <c r="K30" s="64"/>
      <c r="L30" s="64"/>
      <c r="M30" s="64"/>
      <c r="N30" s="64"/>
      <c r="O30" s="64"/>
    </row>
    <row r="31" spans="1:15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4">
        <f t="shared" si="0"/>
        <v>0</v>
      </c>
      <c r="K31" s="64"/>
      <c r="L31" s="64"/>
      <c r="M31" s="64"/>
      <c r="N31" s="64"/>
      <c r="O31" s="64"/>
    </row>
    <row r="32" spans="1:15" s="48" customFormat="1" ht="12.75">
      <c r="A32" s="46" t="s">
        <v>73</v>
      </c>
      <c r="B32" s="42">
        <v>92</v>
      </c>
      <c r="C32" s="47">
        <f aca="true" t="shared" si="1" ref="C32:I32">SUM(C12:C31)</f>
        <v>0</v>
      </c>
      <c r="D32" s="47">
        <f>SUM(D12:D31)</f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4">
        <f t="shared" si="0"/>
        <v>0</v>
      </c>
      <c r="K32" s="126"/>
      <c r="L32" s="126"/>
      <c r="M32" s="126"/>
      <c r="N32" s="126"/>
      <c r="O32" s="126"/>
    </row>
    <row r="33" spans="1:15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4">
        <f t="shared" si="0"/>
        <v>0</v>
      </c>
      <c r="K33" s="64"/>
      <c r="L33" s="64"/>
      <c r="M33" s="64"/>
      <c r="N33" s="64"/>
      <c r="O33" s="64"/>
    </row>
    <row r="34" spans="1:15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4">
        <f t="shared" si="0"/>
        <v>0</v>
      </c>
      <c r="K34" s="64"/>
      <c r="L34" s="64"/>
      <c r="M34" s="64"/>
      <c r="N34" s="64"/>
      <c r="O34" s="64"/>
    </row>
    <row r="35" spans="1:15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4">
        <f t="shared" si="0"/>
        <v>0</v>
      </c>
      <c r="K35" s="64"/>
      <c r="L35" s="64"/>
      <c r="M35" s="64"/>
      <c r="N35" s="64"/>
      <c r="O35" s="64"/>
    </row>
    <row r="36" spans="1:15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4">
        <f t="shared" si="0"/>
        <v>0</v>
      </c>
      <c r="K36" s="64"/>
      <c r="L36" s="64"/>
      <c r="M36" s="64"/>
      <c r="N36" s="64"/>
      <c r="O36" s="64"/>
    </row>
    <row r="37" spans="1:15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4">
        <f t="shared" si="0"/>
        <v>0</v>
      </c>
      <c r="K37" s="64"/>
      <c r="L37" s="64"/>
      <c r="M37" s="64"/>
      <c r="N37" s="64"/>
      <c r="O37" s="64"/>
    </row>
    <row r="38" spans="1:15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4">
        <f t="shared" si="0"/>
        <v>0</v>
      </c>
      <c r="K38" s="64"/>
      <c r="L38" s="64"/>
      <c r="M38" s="64"/>
      <c r="N38" s="64"/>
      <c r="O38" s="64"/>
    </row>
    <row r="39" spans="1:15" s="48" customFormat="1" ht="12.75">
      <c r="A39" s="46" t="s">
        <v>72</v>
      </c>
      <c r="B39" s="42">
        <v>110</v>
      </c>
      <c r="C39" s="47">
        <f aca="true" t="shared" si="2" ref="C39:I39">SUM(C33:C38)</f>
        <v>0</v>
      </c>
      <c r="D39" s="47">
        <f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4">
        <f t="shared" si="0"/>
        <v>0</v>
      </c>
      <c r="K39" s="126"/>
      <c r="L39" s="126"/>
      <c r="M39" s="126"/>
      <c r="N39" s="126"/>
      <c r="O39" s="126"/>
    </row>
    <row r="40" spans="1:15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4">
        <f t="shared" si="0"/>
        <v>0</v>
      </c>
      <c r="K40" s="64"/>
      <c r="L40" s="64"/>
      <c r="M40" s="64"/>
      <c r="N40" s="64"/>
      <c r="O40" s="64"/>
    </row>
    <row r="41" spans="1:15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4">
        <f t="shared" si="0"/>
        <v>0</v>
      </c>
      <c r="K41" s="64"/>
      <c r="L41" s="64"/>
      <c r="M41" s="64"/>
      <c r="N41" s="64"/>
      <c r="O41" s="64"/>
    </row>
    <row r="42" spans="1:15" ht="12.75">
      <c r="A42" s="50" t="s">
        <v>59</v>
      </c>
      <c r="B42" s="42">
        <v>113</v>
      </c>
      <c r="C42" s="43"/>
      <c r="D42" s="43"/>
      <c r="E42" s="43"/>
      <c r="F42" s="43"/>
      <c r="G42" s="43"/>
      <c r="H42" s="43"/>
      <c r="I42" s="43"/>
      <c r="J42" s="44">
        <f t="shared" si="0"/>
        <v>0</v>
      </c>
      <c r="K42" s="64"/>
      <c r="L42" s="64"/>
      <c r="M42" s="64"/>
      <c r="N42" s="64"/>
      <c r="O42" s="64"/>
    </row>
    <row r="43" spans="1:15" ht="12.75">
      <c r="A43" s="50" t="s">
        <v>60</v>
      </c>
      <c r="B43" s="42">
        <v>114</v>
      </c>
      <c r="C43" s="43"/>
      <c r="D43" s="43"/>
      <c r="E43" s="43"/>
      <c r="F43" s="43"/>
      <c r="G43" s="43"/>
      <c r="H43" s="43"/>
      <c r="I43" s="43"/>
      <c r="J43" s="44">
        <f t="shared" si="0"/>
        <v>0</v>
      </c>
      <c r="K43" s="64"/>
      <c r="L43" s="64"/>
      <c r="M43" s="64"/>
      <c r="N43" s="64"/>
      <c r="O43" s="64"/>
    </row>
    <row r="44" spans="1:15" ht="12.75">
      <c r="A44" s="50" t="s">
        <v>61</v>
      </c>
      <c r="B44" s="42">
        <v>115</v>
      </c>
      <c r="C44" s="43"/>
      <c r="D44" s="43"/>
      <c r="E44" s="43"/>
      <c r="F44" s="43"/>
      <c r="G44" s="43"/>
      <c r="H44" s="43"/>
      <c r="I44" s="43"/>
      <c r="J44" s="44">
        <f t="shared" si="0"/>
        <v>0</v>
      </c>
      <c r="K44" s="64"/>
      <c r="L44" s="64"/>
      <c r="M44" s="64"/>
      <c r="N44" s="64"/>
      <c r="O44" s="64"/>
    </row>
    <row r="45" spans="1:15" ht="12.75">
      <c r="A45" s="50" t="s">
        <v>62</v>
      </c>
      <c r="B45" s="42">
        <v>119</v>
      </c>
      <c r="C45" s="43"/>
      <c r="D45" s="43"/>
      <c r="E45" s="43"/>
      <c r="F45" s="43"/>
      <c r="G45" s="43"/>
      <c r="H45" s="43"/>
      <c r="I45" s="43"/>
      <c r="J45" s="44">
        <f t="shared" si="0"/>
        <v>0</v>
      </c>
      <c r="K45" s="64"/>
      <c r="L45" s="64"/>
      <c r="M45" s="64"/>
      <c r="N45" s="64"/>
      <c r="O45" s="64"/>
    </row>
    <row r="46" spans="1:15" ht="12.75">
      <c r="A46" s="50" t="s">
        <v>63</v>
      </c>
      <c r="B46" s="42">
        <v>120</v>
      </c>
      <c r="C46" s="43"/>
      <c r="D46" s="43"/>
      <c r="E46" s="43"/>
      <c r="F46" s="43"/>
      <c r="G46" s="43"/>
      <c r="H46" s="43"/>
      <c r="I46" s="43"/>
      <c r="J46" s="44">
        <f t="shared" si="0"/>
        <v>0</v>
      </c>
      <c r="K46" s="64"/>
      <c r="L46" s="64"/>
      <c r="M46" s="64"/>
      <c r="N46" s="64"/>
      <c r="O46" s="64"/>
    </row>
    <row r="47" spans="1:15" s="48" customFormat="1" ht="12.75">
      <c r="A47" s="46" t="s">
        <v>74</v>
      </c>
      <c r="B47" s="47">
        <v>121</v>
      </c>
      <c r="C47" s="47">
        <f aca="true" t="shared" si="3" ref="C47:I47">SUM(C40:C46)</f>
        <v>0</v>
      </c>
      <c r="D47" s="47">
        <f>SUM(D40:D46)</f>
        <v>0</v>
      </c>
      <c r="E47" s="47">
        <f t="shared" si="3"/>
        <v>0</v>
      </c>
      <c r="F47" s="47">
        <f t="shared" si="3"/>
        <v>0</v>
      </c>
      <c r="G47" s="47">
        <f t="shared" si="3"/>
        <v>0</v>
      </c>
      <c r="H47" s="47">
        <f t="shared" si="3"/>
        <v>0</v>
      </c>
      <c r="I47" s="47">
        <f t="shared" si="3"/>
        <v>0</v>
      </c>
      <c r="J47" s="44">
        <f t="shared" si="0"/>
        <v>0</v>
      </c>
      <c r="K47" s="126"/>
      <c r="L47" s="126"/>
      <c r="M47" s="126"/>
      <c r="N47" s="126"/>
      <c r="O47" s="126"/>
    </row>
    <row r="48" spans="1:15" s="48" customFormat="1" ht="12.75">
      <c r="A48" s="46" t="s">
        <v>119</v>
      </c>
      <c r="B48" s="47">
        <v>152</v>
      </c>
      <c r="C48" s="47">
        <f aca="true" t="shared" si="4" ref="C48:I48">C32+C39+C47</f>
        <v>0</v>
      </c>
      <c r="D48" s="47">
        <f>D32+D39+D47</f>
        <v>0</v>
      </c>
      <c r="E48" s="47">
        <f t="shared" si="4"/>
        <v>0</v>
      </c>
      <c r="F48" s="47">
        <f t="shared" si="4"/>
        <v>0</v>
      </c>
      <c r="G48" s="47">
        <f t="shared" si="4"/>
        <v>0</v>
      </c>
      <c r="H48" s="47">
        <f t="shared" si="4"/>
        <v>0</v>
      </c>
      <c r="I48" s="47">
        <f t="shared" si="4"/>
        <v>0</v>
      </c>
      <c r="J48" s="44">
        <f t="shared" si="0"/>
        <v>0</v>
      </c>
      <c r="K48" s="126"/>
      <c r="L48" s="126"/>
      <c r="M48" s="126"/>
      <c r="N48" s="126"/>
      <c r="O48" s="126"/>
    </row>
    <row r="49" spans="1:15" s="48" customFormat="1" ht="12.75">
      <c r="A49" s="46" t="s">
        <v>51</v>
      </c>
      <c r="B49" s="47">
        <v>158</v>
      </c>
      <c r="C49" s="51"/>
      <c r="D49" s="51"/>
      <c r="E49" s="51"/>
      <c r="F49" s="51"/>
      <c r="G49" s="51"/>
      <c r="H49" s="51"/>
      <c r="I49" s="51"/>
      <c r="J49" s="44">
        <f t="shared" si="0"/>
        <v>0</v>
      </c>
      <c r="K49" s="126"/>
      <c r="L49" s="126"/>
      <c r="M49" s="126"/>
      <c r="N49" s="126"/>
      <c r="O49" s="126"/>
    </row>
    <row r="50" spans="1:15" s="48" customFormat="1" ht="12.75">
      <c r="A50" s="46" t="s">
        <v>75</v>
      </c>
      <c r="B50" s="47">
        <v>159</v>
      </c>
      <c r="C50" s="47">
        <f aca="true" t="shared" si="5" ref="C50:I50">C48+C49</f>
        <v>0</v>
      </c>
      <c r="D50" s="47">
        <f>D48+D49</f>
        <v>0</v>
      </c>
      <c r="E50" s="47">
        <f t="shared" si="5"/>
        <v>0</v>
      </c>
      <c r="F50" s="47">
        <f t="shared" si="5"/>
        <v>0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4">
        <f t="shared" si="0"/>
        <v>0</v>
      </c>
      <c r="K50" s="126"/>
      <c r="L50" s="126"/>
      <c r="M50" s="126"/>
      <c r="N50" s="126"/>
      <c r="O50" s="126"/>
    </row>
    <row r="51" spans="1:14" s="48" customFormat="1" ht="12.75">
      <c r="A51" s="113"/>
      <c r="B51" s="114"/>
      <c r="C51" s="114"/>
      <c r="D51" s="114"/>
      <c r="E51" s="114"/>
      <c r="F51" s="114"/>
      <c r="G51" s="114"/>
      <c r="H51" s="114"/>
      <c r="I51" s="114"/>
      <c r="J51" s="115"/>
      <c r="K51" s="52"/>
      <c r="L51" s="52"/>
      <c r="M51" s="52"/>
      <c r="N51" s="52"/>
    </row>
    <row r="52" spans="1:14" s="48" customFormat="1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39"/>
      <c r="N52" s="135"/>
    </row>
    <row r="53" spans="1:14" s="48" customFormat="1" ht="12.75">
      <c r="A53" s="178" t="s">
        <v>3</v>
      </c>
      <c r="B53" s="136" t="s">
        <v>49</v>
      </c>
      <c r="C53" s="137" t="s">
        <v>188</v>
      </c>
      <c r="D53" s="137" t="s">
        <v>189</v>
      </c>
      <c r="E53" s="137" t="s">
        <v>106</v>
      </c>
      <c r="F53" s="137" t="s">
        <v>190</v>
      </c>
      <c r="G53" s="137" t="s">
        <v>191</v>
      </c>
      <c r="H53" s="137" t="s">
        <v>192</v>
      </c>
      <c r="I53" s="137" t="s">
        <v>192</v>
      </c>
      <c r="J53" s="137" t="s">
        <v>192</v>
      </c>
      <c r="K53" s="191" t="s">
        <v>160</v>
      </c>
      <c r="L53" s="192"/>
      <c r="M53" s="127"/>
      <c r="N53" s="128"/>
    </row>
    <row r="54" spans="1:14" s="48" customFormat="1" ht="12.75">
      <c r="A54" s="179"/>
      <c r="B54" s="54" t="s">
        <v>50</v>
      </c>
      <c r="C54" s="55" t="s">
        <v>105</v>
      </c>
      <c r="D54" s="55" t="s">
        <v>105</v>
      </c>
      <c r="E54" s="55" t="s">
        <v>105</v>
      </c>
      <c r="F54" s="55" t="s">
        <v>109</v>
      </c>
      <c r="G54" s="55" t="s">
        <v>109</v>
      </c>
      <c r="H54" s="55" t="s">
        <v>193</v>
      </c>
      <c r="I54" s="55" t="s">
        <v>194</v>
      </c>
      <c r="J54" s="117" t="s">
        <v>114</v>
      </c>
      <c r="K54" s="54" t="s">
        <v>162</v>
      </c>
      <c r="L54" s="129" t="s">
        <v>161</v>
      </c>
      <c r="M54" s="127"/>
      <c r="N54" s="128"/>
    </row>
    <row r="55" spans="1:16" s="48" customFormat="1" ht="12.75">
      <c r="A55" s="56"/>
      <c r="B55" s="57">
        <f>IF(A55="","",VLOOKUP(A55,$A$12:$B$50,2,FALSE))</f>
      </c>
      <c r="C55" s="57"/>
      <c r="D55" s="57"/>
      <c r="E55" s="57"/>
      <c r="F55" s="57"/>
      <c r="G55" s="57"/>
      <c r="H55" s="57"/>
      <c r="I55" s="57"/>
      <c r="J55" s="130"/>
      <c r="K55" s="57"/>
      <c r="L55" s="58"/>
      <c r="M55" s="131"/>
      <c r="N55" s="114"/>
      <c r="O55" s="116"/>
      <c r="P55" s="132"/>
    </row>
    <row r="56" spans="1:16" s="48" customFormat="1" ht="12.75">
      <c r="A56" s="60"/>
      <c r="B56" s="61">
        <f>IF(A56="","",VLOOKUP(A56,$A$12:$B$50,2,FALSE))</f>
      </c>
      <c r="C56" s="61"/>
      <c r="D56" s="61"/>
      <c r="E56" s="61"/>
      <c r="F56" s="61"/>
      <c r="G56" s="61"/>
      <c r="H56" s="61"/>
      <c r="I56" s="61"/>
      <c r="J56" s="133"/>
      <c r="K56" s="61"/>
      <c r="L56" s="62"/>
      <c r="M56" s="131"/>
      <c r="N56" s="114"/>
      <c r="O56" s="116"/>
      <c r="P56" s="132"/>
    </row>
    <row r="57" spans="1:16" s="48" customFormat="1" ht="12.75">
      <c r="A57" s="60"/>
      <c r="B57" s="61">
        <f>IF(A57="","",VLOOKUP(A57,$A$12:$B$50,2,FALSE))</f>
      </c>
      <c r="C57" s="61"/>
      <c r="D57" s="61"/>
      <c r="E57" s="61"/>
      <c r="F57" s="61"/>
      <c r="G57" s="61"/>
      <c r="H57" s="61"/>
      <c r="I57" s="61"/>
      <c r="J57" s="133"/>
      <c r="K57" s="61"/>
      <c r="L57" s="62"/>
      <c r="M57" s="131"/>
      <c r="N57" s="114"/>
      <c r="O57" s="116"/>
      <c r="P57" s="132"/>
    </row>
    <row r="58" spans="1:16" ht="12.75">
      <c r="A58" s="60"/>
      <c r="B58" s="61">
        <f>IF(A58="","",VLOOKUP(A58,$A$12:$B$50,2,FALSE))</f>
      </c>
      <c r="C58" s="61"/>
      <c r="D58" s="61"/>
      <c r="E58" s="61"/>
      <c r="F58" s="61"/>
      <c r="G58" s="61"/>
      <c r="H58" s="61"/>
      <c r="I58" s="61"/>
      <c r="J58" s="61"/>
      <c r="K58" s="61"/>
      <c r="L58" s="62"/>
      <c r="M58" s="131"/>
      <c r="N58" s="114"/>
      <c r="O58" s="134"/>
      <c r="P58" s="45"/>
    </row>
    <row r="60" spans="1:6" ht="12.75">
      <c r="A60" s="63" t="s">
        <v>21</v>
      </c>
      <c r="B60" s="175"/>
      <c r="C60" s="175"/>
      <c r="D60" s="175"/>
      <c r="E60" s="175"/>
      <c r="F60" s="64"/>
    </row>
    <row r="61" spans="8:9" ht="12.75">
      <c r="H61" s="174"/>
      <c r="I61" s="174"/>
    </row>
    <row r="62" spans="8:9" ht="12.75">
      <c r="H62" s="173" t="s">
        <v>48</v>
      </c>
      <c r="I62" s="173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65" customWidth="1"/>
    <col min="2" max="2" width="5.25390625" style="65" customWidth="1"/>
    <col min="3" max="3" width="15.75390625" style="65" customWidth="1"/>
    <col min="4" max="10" width="14.625" style="65" customWidth="1"/>
    <col min="11" max="12" width="15.75390625" style="65" customWidth="1"/>
    <col min="13" max="13" width="8.75390625" style="65" customWidth="1"/>
    <col min="14" max="14" width="15.75390625" style="65" customWidth="1"/>
    <col min="15" max="16" width="13.75390625" style="65" customWidth="1"/>
    <col min="17" max="16384" width="9.125" style="65" customWidth="1"/>
  </cols>
  <sheetData>
    <row r="1" ht="25.5" customHeight="1">
      <c r="A1" s="1" t="str">
        <f>'01'!A1</f>
        <v>Fővárosi Büntetés-végrehajtási Intézet</v>
      </c>
    </row>
    <row r="2" spans="1:12" ht="22.5" customHeight="1">
      <c r="A2" s="3" t="s">
        <v>71</v>
      </c>
      <c r="H2" s="4"/>
      <c r="I2" s="4"/>
      <c r="J2" s="5" t="s">
        <v>0</v>
      </c>
      <c r="K2" s="198" t="s">
        <v>215</v>
      </c>
      <c r="L2" s="170"/>
    </row>
    <row r="3" spans="1:12" ht="12.75">
      <c r="A3" s="3"/>
      <c r="H3" s="4"/>
      <c r="I3" s="4"/>
      <c r="J3" s="5" t="s">
        <v>77</v>
      </c>
      <c r="K3" s="169" t="s">
        <v>208</v>
      </c>
      <c r="L3" s="170"/>
    </row>
    <row r="4" spans="1:7" ht="18" customHeight="1">
      <c r="A4" s="6"/>
      <c r="E4" s="201" t="s">
        <v>55</v>
      </c>
      <c r="F4" s="201"/>
      <c r="G4" s="66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72" t="s">
        <v>82</v>
      </c>
      <c r="B5" s="172"/>
      <c r="C5" s="172"/>
      <c r="D5" s="172"/>
      <c r="E5" s="172"/>
      <c r="F5" s="172"/>
      <c r="G5" s="7" t="s">
        <v>83</v>
      </c>
      <c r="H5" s="171" t="s">
        <v>195</v>
      </c>
      <c r="I5" s="171"/>
      <c r="J5" s="171"/>
      <c r="K5" s="171"/>
      <c r="L5" s="171"/>
      <c r="M5" s="171"/>
      <c r="N5" s="171"/>
      <c r="O5" s="171"/>
      <c r="P5" s="171"/>
    </row>
    <row r="6" spans="1:12" ht="15.75" customHeight="1" thickBot="1">
      <c r="A6" s="67"/>
      <c r="L6" s="68" t="s">
        <v>76</v>
      </c>
    </row>
    <row r="7" spans="1:16" ht="12.75">
      <c r="A7" s="69"/>
      <c r="B7" s="70"/>
      <c r="C7" s="187" t="s">
        <v>1</v>
      </c>
      <c r="D7" s="188"/>
      <c r="E7" s="71"/>
      <c r="F7" s="13"/>
      <c r="G7" s="71"/>
      <c r="H7" s="72"/>
      <c r="I7" s="73"/>
      <c r="J7" s="73"/>
      <c r="K7" s="16" t="s">
        <v>2</v>
      </c>
      <c r="L7" s="16" t="s">
        <v>45</v>
      </c>
      <c r="M7" s="74"/>
      <c r="N7" s="74" t="s">
        <v>2</v>
      </c>
      <c r="O7" s="74" t="s">
        <v>200</v>
      </c>
      <c r="P7" s="74" t="s">
        <v>200</v>
      </c>
    </row>
    <row r="8" spans="1:16" ht="12.75">
      <c r="A8" s="75" t="s">
        <v>3</v>
      </c>
      <c r="B8" s="18" t="s">
        <v>49</v>
      </c>
      <c r="C8" s="76" t="s">
        <v>4</v>
      </c>
      <c r="D8" s="77" t="s">
        <v>5</v>
      </c>
      <c r="E8" s="78" t="s">
        <v>6</v>
      </c>
      <c r="F8" s="79" t="s">
        <v>80</v>
      </c>
      <c r="G8" s="78" t="s">
        <v>81</v>
      </c>
      <c r="H8" s="80" t="s">
        <v>7</v>
      </c>
      <c r="I8" s="78" t="s">
        <v>42</v>
      </c>
      <c r="J8" s="78" t="s">
        <v>78</v>
      </c>
      <c r="K8" s="22" t="s">
        <v>8</v>
      </c>
      <c r="L8" s="22" t="s">
        <v>47</v>
      </c>
      <c r="M8" s="81" t="s">
        <v>53</v>
      </c>
      <c r="N8" s="81" t="s">
        <v>8</v>
      </c>
      <c r="O8" s="81" t="s">
        <v>199</v>
      </c>
      <c r="P8" s="81" t="s">
        <v>199</v>
      </c>
    </row>
    <row r="9" spans="1:16" ht="12.75">
      <c r="A9" s="82"/>
      <c r="B9" s="18" t="s">
        <v>50</v>
      </c>
      <c r="C9" s="76" t="s">
        <v>9</v>
      </c>
      <c r="D9" s="77" t="s">
        <v>10</v>
      </c>
      <c r="E9" s="78" t="s">
        <v>11</v>
      </c>
      <c r="F9" s="78" t="s">
        <v>10</v>
      </c>
      <c r="G9" s="78" t="s">
        <v>12</v>
      </c>
      <c r="H9" s="83" t="s">
        <v>13</v>
      </c>
      <c r="I9" s="79" t="s">
        <v>43</v>
      </c>
      <c r="J9" s="79" t="s">
        <v>79</v>
      </c>
      <c r="K9" s="22" t="s">
        <v>14</v>
      </c>
      <c r="L9" s="22" t="s">
        <v>14</v>
      </c>
      <c r="M9" s="81" t="s">
        <v>54</v>
      </c>
      <c r="N9" s="81" t="s">
        <v>176</v>
      </c>
      <c r="O9" s="81" t="s">
        <v>198</v>
      </c>
      <c r="P9" s="81" t="s">
        <v>201</v>
      </c>
    </row>
    <row r="10" spans="1:16" ht="13.5" thickBot="1">
      <c r="A10" s="25"/>
      <c r="B10" s="84"/>
      <c r="C10" s="85"/>
      <c r="D10" s="86"/>
      <c r="E10" s="28" t="s">
        <v>16</v>
      </c>
      <c r="F10" s="27" t="s">
        <v>17</v>
      </c>
      <c r="G10" s="87" t="s">
        <v>18</v>
      </c>
      <c r="H10" s="88" t="s">
        <v>19</v>
      </c>
      <c r="I10" s="89" t="s">
        <v>44</v>
      </c>
      <c r="J10" s="89" t="s">
        <v>44</v>
      </c>
      <c r="K10" s="31" t="s">
        <v>20</v>
      </c>
      <c r="L10" s="27" t="s">
        <v>46</v>
      </c>
      <c r="M10" s="146" t="s">
        <v>15</v>
      </c>
      <c r="N10" s="146" t="s">
        <v>177</v>
      </c>
      <c r="O10" s="146" t="s">
        <v>52</v>
      </c>
      <c r="P10" s="146" t="s">
        <v>56</v>
      </c>
    </row>
    <row r="11" spans="1:16" s="94" customFormat="1" ht="23.25" customHeight="1">
      <c r="A11" s="90"/>
      <c r="B11" s="35"/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93"/>
      <c r="N11" s="93"/>
      <c r="O11" s="93"/>
      <c r="P11" s="93"/>
    </row>
    <row r="12" spans="1:17" ht="12.75" customHeight="1">
      <c r="A12" s="95" t="s">
        <v>22</v>
      </c>
      <c r="B12" s="96">
        <v>71</v>
      </c>
      <c r="C12" s="97">
        <f>'01'!C12+'13'!C12+'02'!C12+'03'!C12+'04'!C12+'05'!C12+'06'!C12+'07'!C12+'08'!C12+'09'!C12+'10'!C12+'11'!C12+'12'!C12</f>
        <v>0</v>
      </c>
      <c r="D12" s="97">
        <f>'01'!D12+'13'!D12+'02'!D12+'03'!D12+'04'!D12+'05'!D12+'06'!D12+'07'!D12+'08'!D12+'09'!D12+'10'!D12+'11'!D12+'12'!D12</f>
        <v>0</v>
      </c>
      <c r="E12" s="97">
        <f>'01'!E12+'13'!E12+'02'!E12+'03'!E12+'04'!E12+'05'!E12+'06'!E12+'07'!E12+'08'!E12+'09'!E12+'10'!E12+'11'!E12+'12'!E12</f>
        <v>0</v>
      </c>
      <c r="F12" s="97">
        <f>'01'!F12+'13'!F12+'02'!F12+'03'!F12+'04'!F12+'05'!F12+'06'!F12+'07'!F12+'08'!F12+'09'!F12+'10'!F12+'11'!F12+'12'!F12</f>
        <v>0</v>
      </c>
      <c r="G12" s="97">
        <f>'01'!G12+'13'!G12+'02'!G12+'03'!G12+'04'!G12+'05'!G12+'06'!G12+'07'!G12+'08'!G12+'09'!G12+'10'!G12+'11'!G12+'12'!G12</f>
        <v>0</v>
      </c>
      <c r="H12" s="97">
        <f>'01'!H12+'13'!H12+'02'!H12+'03'!H12+'04'!H12+'05'!H12+'06'!H12+'07'!H12+'08'!H12+'09'!H12+'10'!H12+'11'!H12+'12'!H12</f>
        <v>0</v>
      </c>
      <c r="I12" s="97">
        <f>'01'!I12+'13'!I12+'02'!I12+'03'!I12+'04'!I12+'05'!I12+'06'!I12+'07'!I12+'08'!I12+'09'!I12+'10'!I12+'11'!I12+'12'!I12</f>
        <v>0</v>
      </c>
      <c r="J12" s="97">
        <f>'01'!J12+'13'!J12+'02'!J12+'03'!J12+'04'!J12+'05'!J12+'06'!J12+'07'!J12+'08'!J12+'09'!J12+'10'!J12+'11'!J12+'12'!J12</f>
        <v>0</v>
      </c>
      <c r="K12" s="97">
        <f>'01'!K12+'13'!K12+'02'!K12+'03'!K12+'04'!K12+'05'!K12+'06'!K12+'07'!K12+'08'!K12+'09'!K12+'10'!K12+'11'!K12+'12'!K12</f>
        <v>0</v>
      </c>
      <c r="L12" s="97">
        <f>'01'!L12+'13'!L12+'02'!L12+'03'!L12+'04'!L12+'05'!L12+'06'!L12+'07'!L12+'08'!L12+'09'!L12+'10'!L12+'11'!L12+'12'!L12</f>
        <v>0</v>
      </c>
      <c r="M12" s="144">
        <f>IF($G$4=0,0,('01'!M12+'13'!M12+'02'!M12+'03'!M12+'04'!M12+'05'!M12+'06'!M12+'07'!M12+'08'!M12+'09'!M12+'10'!M12+'11'!M12+'12'!M12)/$G$4)</f>
        <v>0</v>
      </c>
      <c r="N12" s="98"/>
      <c r="O12" s="99">
        <f>IF(N12=0,N12,K12/N12)</f>
        <v>0</v>
      </c>
      <c r="P12" s="100">
        <f>IF(M12=0,M12,(K12/M12)/$G$4)</f>
        <v>0</v>
      </c>
      <c r="Q12" s="101"/>
    </row>
    <row r="13" spans="1:16" ht="12.75" customHeight="1">
      <c r="A13" s="95" t="s">
        <v>23</v>
      </c>
      <c r="B13" s="96">
        <v>72</v>
      </c>
      <c r="C13" s="97">
        <f>'01'!C13+'13'!C13+'02'!C13+'03'!C13+'04'!C13+'05'!C13+'06'!C13+'07'!C13+'08'!C13+'09'!C13+'10'!C13+'11'!C13+'12'!C13</f>
        <v>0</v>
      </c>
      <c r="D13" s="97">
        <f>'01'!D13+'13'!D13+'02'!D13+'03'!D13+'04'!D13+'05'!D13+'06'!D13+'07'!D13+'08'!D13+'09'!D13+'10'!D13+'11'!D13+'12'!D13</f>
        <v>0</v>
      </c>
      <c r="E13" s="97">
        <f>'01'!E13+'13'!E13+'02'!E13+'03'!E13+'04'!E13+'05'!E13+'06'!E13+'07'!E13+'08'!E13+'09'!E13+'10'!E13+'11'!E13+'12'!E13</f>
        <v>0</v>
      </c>
      <c r="F13" s="97">
        <f>'01'!F13+'13'!F13+'02'!F13+'03'!F13+'04'!F13+'05'!F13+'06'!F13+'07'!F13+'08'!F13+'09'!F13+'10'!F13+'11'!F13+'12'!F13</f>
        <v>0</v>
      </c>
      <c r="G13" s="97">
        <f>'01'!G13+'13'!G13+'02'!G13+'03'!G13+'04'!G13+'05'!G13+'06'!G13+'07'!G13+'08'!G13+'09'!G13+'10'!G13+'11'!G13+'12'!G13</f>
        <v>0</v>
      </c>
      <c r="H13" s="97">
        <f>'01'!H13+'13'!H13+'02'!H13+'03'!H13+'04'!H13+'05'!H13+'06'!H13+'07'!H13+'08'!H13+'09'!H13+'10'!H13+'11'!H13+'12'!H13</f>
        <v>0</v>
      </c>
      <c r="I13" s="97">
        <f>'01'!I13+'13'!I13+'02'!I13+'03'!I13+'04'!I13+'05'!I13+'06'!I13+'07'!I13+'08'!I13+'09'!I13+'10'!I13+'11'!I13+'12'!I13</f>
        <v>0</v>
      </c>
      <c r="J13" s="97">
        <f>'01'!J13+'13'!J13+'02'!J13+'03'!J13+'04'!J13+'05'!J13+'06'!J13+'07'!J13+'08'!J13+'09'!J13+'10'!J13+'11'!J13+'12'!J13</f>
        <v>0</v>
      </c>
      <c r="K13" s="97">
        <f>'01'!K13+'13'!K13+'02'!K13+'03'!K13+'04'!K13+'05'!K13+'06'!K13+'07'!K13+'08'!K13+'09'!K13+'10'!K13+'11'!K13+'12'!K13</f>
        <v>0</v>
      </c>
      <c r="L13" s="97">
        <f>'01'!L13+'13'!L13+'02'!L13+'03'!L13+'04'!L13+'05'!L13+'06'!L13+'07'!L13+'08'!L13+'09'!L13+'10'!L13+'11'!L13+'12'!L13</f>
        <v>0</v>
      </c>
      <c r="M13" s="144">
        <f>IF($G$4=0,0,('01'!M13+'13'!M13+'02'!M13+'03'!M13+'04'!M13+'05'!M13+'06'!M13+'07'!M13+'08'!M13+'09'!M13+'10'!M13+'11'!M13+'12'!M13)/$G$4)</f>
        <v>0</v>
      </c>
      <c r="N13" s="98"/>
      <c r="O13" s="99">
        <f aca="true" t="shared" si="0" ref="O13:O50">IF(N13=0,N13,K13/N13)</f>
        <v>0</v>
      </c>
      <c r="P13" s="100">
        <f aca="true" t="shared" si="1" ref="P13:P50">IF(M13=0,M13,(K13/M13)/$G$4)</f>
        <v>0</v>
      </c>
    </row>
    <row r="14" spans="1:16" ht="12.75" customHeight="1">
      <c r="A14" s="95" t="s">
        <v>24</v>
      </c>
      <c r="B14" s="96">
        <v>73</v>
      </c>
      <c r="C14" s="97">
        <f>'01'!C14+'13'!C14+'02'!C14+'03'!C14+'04'!C14+'05'!C14+'06'!C14+'07'!C14+'08'!C14+'09'!C14+'10'!C14+'11'!C14+'12'!C14</f>
        <v>0</v>
      </c>
      <c r="D14" s="97">
        <f>'01'!D14+'13'!D14+'02'!D14+'03'!D14+'04'!D14+'05'!D14+'06'!D14+'07'!D14+'08'!D14+'09'!D14+'10'!D14+'11'!D14+'12'!D14</f>
        <v>0</v>
      </c>
      <c r="E14" s="97">
        <f>'01'!E14+'13'!E14+'02'!E14+'03'!E14+'04'!E14+'05'!E14+'06'!E14+'07'!E14+'08'!E14+'09'!E14+'10'!E14+'11'!E14+'12'!E14</f>
        <v>0</v>
      </c>
      <c r="F14" s="97">
        <f>'01'!F14+'13'!F14+'02'!F14+'03'!F14+'04'!F14+'05'!F14+'06'!F14+'07'!F14+'08'!F14+'09'!F14+'10'!F14+'11'!F14+'12'!F14</f>
        <v>0</v>
      </c>
      <c r="G14" s="97">
        <f>'01'!G14+'13'!G14+'02'!G14+'03'!G14+'04'!G14+'05'!G14+'06'!G14+'07'!G14+'08'!G14+'09'!G14+'10'!G14+'11'!G14+'12'!G14</f>
        <v>0</v>
      </c>
      <c r="H14" s="97">
        <f>'01'!H14+'13'!H14+'02'!H14+'03'!H14+'04'!H14+'05'!H14+'06'!H14+'07'!H14+'08'!H14+'09'!H14+'10'!H14+'11'!H14+'12'!H14</f>
        <v>0</v>
      </c>
      <c r="I14" s="97">
        <f>'01'!I14+'13'!I14+'02'!I14+'03'!I14+'04'!I14+'05'!I14+'06'!I14+'07'!I14+'08'!I14+'09'!I14+'10'!I14+'11'!I14+'12'!I14</f>
        <v>0</v>
      </c>
      <c r="J14" s="97">
        <f>'01'!J14+'13'!J14+'02'!J14+'03'!J14+'04'!J14+'05'!J14+'06'!J14+'07'!J14+'08'!J14+'09'!J14+'10'!J14+'11'!J14+'12'!J14</f>
        <v>0</v>
      </c>
      <c r="K14" s="97">
        <f>'01'!K14+'13'!K14+'02'!K14+'03'!K14+'04'!K14+'05'!K14+'06'!K14+'07'!K14+'08'!K14+'09'!K14+'10'!K14+'11'!K14+'12'!K14</f>
        <v>0</v>
      </c>
      <c r="L14" s="97">
        <f>'01'!L14+'13'!L14+'02'!L14+'03'!L14+'04'!L14+'05'!L14+'06'!L14+'07'!L14+'08'!L14+'09'!L14+'10'!L14+'11'!L14+'12'!L14</f>
        <v>0</v>
      </c>
      <c r="M14" s="144">
        <f>IF($G$4=0,0,('01'!M14+'13'!M14+'02'!M14+'03'!M14+'04'!M14+'05'!M14+'06'!M14+'07'!M14+'08'!M14+'09'!M14+'10'!M14+'11'!M14+'12'!M14)/$G$4)</f>
        <v>0</v>
      </c>
      <c r="N14" s="98"/>
      <c r="O14" s="99">
        <f t="shared" si="0"/>
        <v>0</v>
      </c>
      <c r="P14" s="100">
        <f t="shared" si="1"/>
        <v>0</v>
      </c>
    </row>
    <row r="15" spans="1:16" ht="12.75" customHeight="1">
      <c r="A15" s="95" t="s">
        <v>26</v>
      </c>
      <c r="B15" s="96">
        <v>74</v>
      </c>
      <c r="C15" s="97">
        <f>'01'!C15+'13'!C15+'02'!C15+'03'!C15+'04'!C15+'05'!C15+'06'!C15+'07'!C15+'08'!C15+'09'!C15+'10'!C15+'11'!C15+'12'!C15</f>
        <v>0</v>
      </c>
      <c r="D15" s="97">
        <f>'01'!D15+'13'!D15+'02'!D15+'03'!D15+'04'!D15+'05'!D15+'06'!D15+'07'!D15+'08'!D15+'09'!D15+'10'!D15+'11'!D15+'12'!D15</f>
        <v>0</v>
      </c>
      <c r="E15" s="97">
        <f>'01'!E15+'13'!E15+'02'!E15+'03'!E15+'04'!E15+'05'!E15+'06'!E15+'07'!E15+'08'!E15+'09'!E15+'10'!E15+'11'!E15+'12'!E15</f>
        <v>0</v>
      </c>
      <c r="F15" s="97">
        <f>'01'!F15+'13'!F15+'02'!F15+'03'!F15+'04'!F15+'05'!F15+'06'!F15+'07'!F15+'08'!F15+'09'!F15+'10'!F15+'11'!F15+'12'!F15</f>
        <v>0</v>
      </c>
      <c r="G15" s="97">
        <f>'01'!G15+'13'!G15+'02'!G15+'03'!G15+'04'!G15+'05'!G15+'06'!G15+'07'!G15+'08'!G15+'09'!G15+'10'!G15+'11'!G15+'12'!G15</f>
        <v>0</v>
      </c>
      <c r="H15" s="97">
        <f>'01'!H15+'13'!H15+'02'!H15+'03'!H15+'04'!H15+'05'!H15+'06'!H15+'07'!H15+'08'!H15+'09'!H15+'10'!H15+'11'!H15+'12'!H15</f>
        <v>0</v>
      </c>
      <c r="I15" s="97">
        <f>'01'!I15+'13'!I15+'02'!I15+'03'!I15+'04'!I15+'05'!I15+'06'!I15+'07'!I15+'08'!I15+'09'!I15+'10'!I15+'11'!I15+'12'!I15</f>
        <v>0</v>
      </c>
      <c r="J15" s="97">
        <f>'01'!J15+'13'!J15+'02'!J15+'03'!J15+'04'!J15+'05'!J15+'06'!J15+'07'!J15+'08'!J15+'09'!J15+'10'!J15+'11'!J15+'12'!J15</f>
        <v>0</v>
      </c>
      <c r="K15" s="97">
        <f>'01'!K15+'13'!K15+'02'!K15+'03'!K15+'04'!K15+'05'!K15+'06'!K15+'07'!K15+'08'!K15+'09'!K15+'10'!K15+'11'!K15+'12'!K15</f>
        <v>0</v>
      </c>
      <c r="L15" s="97">
        <f>'01'!L15+'13'!L15+'02'!L15+'03'!L15+'04'!L15+'05'!L15+'06'!L15+'07'!L15+'08'!L15+'09'!L15+'10'!L15+'11'!L15+'12'!L15</f>
        <v>0</v>
      </c>
      <c r="M15" s="144">
        <f>IF($G$4=0,0,('01'!M15+'13'!M15+'02'!M15+'03'!M15+'04'!M15+'05'!M15+'06'!M15+'07'!M15+'08'!M15+'09'!M15+'10'!M15+'11'!M15+'12'!M15)/$G$4)</f>
        <v>0</v>
      </c>
      <c r="N15" s="98"/>
      <c r="O15" s="99">
        <f t="shared" si="0"/>
        <v>0</v>
      </c>
      <c r="P15" s="100">
        <f t="shared" si="1"/>
        <v>0</v>
      </c>
    </row>
    <row r="16" spans="1:16" ht="12.75" customHeight="1">
      <c r="A16" s="95" t="s">
        <v>25</v>
      </c>
      <c r="B16" s="96">
        <v>75</v>
      </c>
      <c r="C16" s="97">
        <f>'01'!C16+'13'!C16+'02'!C16+'03'!C16+'04'!C16+'05'!C16+'06'!C16+'07'!C16+'08'!C16+'09'!C16+'10'!C16+'11'!C16+'12'!C16</f>
        <v>0</v>
      </c>
      <c r="D16" s="97">
        <f>'01'!D16+'13'!D16+'02'!D16+'03'!D16+'04'!D16+'05'!D16+'06'!D16+'07'!D16+'08'!D16+'09'!D16+'10'!D16+'11'!D16+'12'!D16</f>
        <v>0</v>
      </c>
      <c r="E16" s="97">
        <f>'01'!E16+'13'!E16+'02'!E16+'03'!E16+'04'!E16+'05'!E16+'06'!E16+'07'!E16+'08'!E16+'09'!E16+'10'!E16+'11'!E16+'12'!E16</f>
        <v>0</v>
      </c>
      <c r="F16" s="97">
        <f>'01'!F16+'13'!F16+'02'!F16+'03'!F16+'04'!F16+'05'!F16+'06'!F16+'07'!F16+'08'!F16+'09'!F16+'10'!F16+'11'!F16+'12'!F16</f>
        <v>0</v>
      </c>
      <c r="G16" s="97">
        <f>'01'!G16+'13'!G16+'02'!G16+'03'!G16+'04'!G16+'05'!G16+'06'!G16+'07'!G16+'08'!G16+'09'!G16+'10'!G16+'11'!G16+'12'!G16</f>
        <v>0</v>
      </c>
      <c r="H16" s="97">
        <f>'01'!H16+'13'!H16+'02'!H16+'03'!H16+'04'!H16+'05'!H16+'06'!H16+'07'!H16+'08'!H16+'09'!H16+'10'!H16+'11'!H16+'12'!H16</f>
        <v>0</v>
      </c>
      <c r="I16" s="97">
        <f>'01'!I16+'13'!I16+'02'!I16+'03'!I16+'04'!I16+'05'!I16+'06'!I16+'07'!I16+'08'!I16+'09'!I16+'10'!I16+'11'!I16+'12'!I16</f>
        <v>0</v>
      </c>
      <c r="J16" s="97">
        <f>'01'!J16+'13'!J16+'02'!J16+'03'!J16+'04'!J16+'05'!J16+'06'!J16+'07'!J16+'08'!J16+'09'!J16+'10'!J16+'11'!J16+'12'!J16</f>
        <v>0</v>
      </c>
      <c r="K16" s="97">
        <f>'01'!K16+'13'!K16+'02'!K16+'03'!K16+'04'!K16+'05'!K16+'06'!K16+'07'!K16+'08'!K16+'09'!K16+'10'!K16+'11'!K16+'12'!K16</f>
        <v>0</v>
      </c>
      <c r="L16" s="97">
        <f>'01'!L16+'13'!L16+'02'!L16+'03'!L16+'04'!L16+'05'!L16+'06'!L16+'07'!L16+'08'!L16+'09'!L16+'10'!L16+'11'!L16+'12'!L16</f>
        <v>0</v>
      </c>
      <c r="M16" s="144">
        <f>IF($G$4=0,0,('01'!M16+'13'!M16+'02'!M16+'03'!M16+'04'!M16+'05'!M16+'06'!M16+'07'!M16+'08'!M16+'09'!M16+'10'!M16+'11'!M16+'12'!M16)/$G$4)</f>
        <v>0</v>
      </c>
      <c r="N16" s="98"/>
      <c r="O16" s="99">
        <f t="shared" si="0"/>
        <v>0</v>
      </c>
      <c r="P16" s="100">
        <f t="shared" si="1"/>
        <v>0</v>
      </c>
    </row>
    <row r="17" spans="1:16" ht="12.75" customHeight="1">
      <c r="A17" s="95" t="s">
        <v>27</v>
      </c>
      <c r="B17" s="96">
        <v>76</v>
      </c>
      <c r="C17" s="97">
        <f>'01'!C17+'13'!C17+'02'!C17+'03'!C17+'04'!C17+'05'!C17+'06'!C17+'07'!C17+'08'!C17+'09'!C17+'10'!C17+'11'!C17+'12'!C17</f>
        <v>0</v>
      </c>
      <c r="D17" s="97">
        <f>'01'!D17+'13'!D17+'02'!D17+'03'!D17+'04'!D17+'05'!D17+'06'!D17+'07'!D17+'08'!D17+'09'!D17+'10'!D17+'11'!D17+'12'!D17</f>
        <v>0</v>
      </c>
      <c r="E17" s="97">
        <f>'01'!E17+'13'!E17+'02'!E17+'03'!E17+'04'!E17+'05'!E17+'06'!E17+'07'!E17+'08'!E17+'09'!E17+'10'!E17+'11'!E17+'12'!E17</f>
        <v>0</v>
      </c>
      <c r="F17" s="97">
        <f>'01'!F17+'13'!F17+'02'!F17+'03'!F17+'04'!F17+'05'!F17+'06'!F17+'07'!F17+'08'!F17+'09'!F17+'10'!F17+'11'!F17+'12'!F17</f>
        <v>0</v>
      </c>
      <c r="G17" s="97">
        <f>'01'!G17+'13'!G17+'02'!G17+'03'!G17+'04'!G17+'05'!G17+'06'!G17+'07'!G17+'08'!G17+'09'!G17+'10'!G17+'11'!G17+'12'!G17</f>
        <v>0</v>
      </c>
      <c r="H17" s="97">
        <f>'01'!H17+'13'!H17+'02'!H17+'03'!H17+'04'!H17+'05'!H17+'06'!H17+'07'!H17+'08'!H17+'09'!H17+'10'!H17+'11'!H17+'12'!H17</f>
        <v>0</v>
      </c>
      <c r="I17" s="97">
        <f>'01'!I17+'13'!I17+'02'!I17+'03'!I17+'04'!I17+'05'!I17+'06'!I17+'07'!I17+'08'!I17+'09'!I17+'10'!I17+'11'!I17+'12'!I17</f>
        <v>0</v>
      </c>
      <c r="J17" s="97">
        <f>'01'!J17+'13'!J17+'02'!J17+'03'!J17+'04'!J17+'05'!J17+'06'!J17+'07'!J17+'08'!J17+'09'!J17+'10'!J17+'11'!J17+'12'!J17</f>
        <v>0</v>
      </c>
      <c r="K17" s="97">
        <f>'01'!K17+'13'!K17+'02'!K17+'03'!K17+'04'!K17+'05'!K17+'06'!K17+'07'!K17+'08'!K17+'09'!K17+'10'!K17+'11'!K17+'12'!K17</f>
        <v>0</v>
      </c>
      <c r="L17" s="97">
        <f>'01'!L17+'13'!L17+'02'!L17+'03'!L17+'04'!L17+'05'!L17+'06'!L17+'07'!L17+'08'!L17+'09'!L17+'10'!L17+'11'!L17+'12'!L17</f>
        <v>0</v>
      </c>
      <c r="M17" s="144">
        <f>IF($G$4=0,0,('01'!M17+'13'!M17+'02'!M17+'03'!M17+'04'!M17+'05'!M17+'06'!M17+'07'!M17+'08'!M17+'09'!M17+'10'!M17+'11'!M17+'12'!M17)/$G$4)</f>
        <v>0</v>
      </c>
      <c r="N17" s="98"/>
      <c r="O17" s="99">
        <f t="shared" si="0"/>
        <v>0</v>
      </c>
      <c r="P17" s="100">
        <f t="shared" si="1"/>
        <v>0</v>
      </c>
    </row>
    <row r="18" spans="1:16" ht="12.75" customHeight="1">
      <c r="A18" s="95" t="s">
        <v>28</v>
      </c>
      <c r="B18" s="96">
        <v>77</v>
      </c>
      <c r="C18" s="97">
        <f>'01'!C18+'13'!C18+'02'!C18+'03'!C18+'04'!C18+'05'!C18+'06'!C18+'07'!C18+'08'!C18+'09'!C18+'10'!C18+'11'!C18+'12'!C18</f>
        <v>0</v>
      </c>
      <c r="D18" s="97">
        <f>'01'!D18+'13'!D18+'02'!D18+'03'!D18+'04'!D18+'05'!D18+'06'!D18+'07'!D18+'08'!D18+'09'!D18+'10'!D18+'11'!D18+'12'!D18</f>
        <v>0</v>
      </c>
      <c r="E18" s="97">
        <f>'01'!E18+'13'!E18+'02'!E18+'03'!E18+'04'!E18+'05'!E18+'06'!E18+'07'!E18+'08'!E18+'09'!E18+'10'!E18+'11'!E18+'12'!E18</f>
        <v>0</v>
      </c>
      <c r="F18" s="97">
        <f>'01'!F18+'13'!F18+'02'!F18+'03'!F18+'04'!F18+'05'!F18+'06'!F18+'07'!F18+'08'!F18+'09'!F18+'10'!F18+'11'!F18+'12'!F18</f>
        <v>0</v>
      </c>
      <c r="G18" s="97">
        <f>'01'!G18+'13'!G18+'02'!G18+'03'!G18+'04'!G18+'05'!G18+'06'!G18+'07'!G18+'08'!G18+'09'!G18+'10'!G18+'11'!G18+'12'!G18</f>
        <v>0</v>
      </c>
      <c r="H18" s="97">
        <f>'01'!H18+'13'!H18+'02'!H18+'03'!H18+'04'!H18+'05'!H18+'06'!H18+'07'!H18+'08'!H18+'09'!H18+'10'!H18+'11'!H18+'12'!H18</f>
        <v>0</v>
      </c>
      <c r="I18" s="97">
        <f>'01'!I18+'13'!I18+'02'!I18+'03'!I18+'04'!I18+'05'!I18+'06'!I18+'07'!I18+'08'!I18+'09'!I18+'10'!I18+'11'!I18+'12'!I18</f>
        <v>0</v>
      </c>
      <c r="J18" s="97">
        <f>'01'!J18+'13'!J18+'02'!J18+'03'!J18+'04'!J18+'05'!J18+'06'!J18+'07'!J18+'08'!J18+'09'!J18+'10'!J18+'11'!J18+'12'!J18</f>
        <v>0</v>
      </c>
      <c r="K18" s="97">
        <f>'01'!K18+'13'!K18+'02'!K18+'03'!K18+'04'!K18+'05'!K18+'06'!K18+'07'!K18+'08'!K18+'09'!K18+'10'!K18+'11'!K18+'12'!K18</f>
        <v>0</v>
      </c>
      <c r="L18" s="97">
        <f>'01'!L18+'13'!L18+'02'!L18+'03'!L18+'04'!L18+'05'!L18+'06'!L18+'07'!L18+'08'!L18+'09'!L18+'10'!L18+'11'!L18+'12'!L18</f>
        <v>0</v>
      </c>
      <c r="M18" s="144">
        <f>IF($G$4=0,0,('01'!M18+'13'!M18+'02'!M18+'03'!M18+'04'!M18+'05'!M18+'06'!M18+'07'!M18+'08'!M18+'09'!M18+'10'!M18+'11'!M18+'12'!M18)/$G$4)</f>
        <v>0</v>
      </c>
      <c r="N18" s="98"/>
      <c r="O18" s="99">
        <f t="shared" si="0"/>
        <v>0</v>
      </c>
      <c r="P18" s="100">
        <f t="shared" si="1"/>
        <v>0</v>
      </c>
    </row>
    <row r="19" spans="1:16" ht="12.75" customHeight="1">
      <c r="A19" s="95" t="s">
        <v>29</v>
      </c>
      <c r="B19" s="96">
        <v>78</v>
      </c>
      <c r="C19" s="97">
        <f>'01'!C19+'13'!C19+'02'!C19+'03'!C19+'04'!C19+'05'!C19+'06'!C19+'07'!C19+'08'!C19+'09'!C19+'10'!C19+'11'!C19+'12'!C19</f>
        <v>0</v>
      </c>
      <c r="D19" s="97">
        <f>'01'!D19+'13'!D19+'02'!D19+'03'!D19+'04'!D19+'05'!D19+'06'!D19+'07'!D19+'08'!D19+'09'!D19+'10'!D19+'11'!D19+'12'!D19</f>
        <v>0</v>
      </c>
      <c r="E19" s="97">
        <f>'01'!E19+'13'!E19+'02'!E19+'03'!E19+'04'!E19+'05'!E19+'06'!E19+'07'!E19+'08'!E19+'09'!E19+'10'!E19+'11'!E19+'12'!E19</f>
        <v>0</v>
      </c>
      <c r="F19" s="97">
        <f>'01'!F19+'13'!F19+'02'!F19+'03'!F19+'04'!F19+'05'!F19+'06'!F19+'07'!F19+'08'!F19+'09'!F19+'10'!F19+'11'!F19+'12'!F19</f>
        <v>0</v>
      </c>
      <c r="G19" s="97">
        <f>'01'!G19+'13'!G19+'02'!G19+'03'!G19+'04'!G19+'05'!G19+'06'!G19+'07'!G19+'08'!G19+'09'!G19+'10'!G19+'11'!G19+'12'!G19</f>
        <v>0</v>
      </c>
      <c r="H19" s="97">
        <f>'01'!H19+'13'!H19+'02'!H19+'03'!H19+'04'!H19+'05'!H19+'06'!H19+'07'!H19+'08'!H19+'09'!H19+'10'!H19+'11'!H19+'12'!H19</f>
        <v>0</v>
      </c>
      <c r="I19" s="97">
        <f>'01'!I19+'13'!I19+'02'!I19+'03'!I19+'04'!I19+'05'!I19+'06'!I19+'07'!I19+'08'!I19+'09'!I19+'10'!I19+'11'!I19+'12'!I19</f>
        <v>0</v>
      </c>
      <c r="J19" s="97">
        <f>'01'!J19+'13'!J19+'02'!J19+'03'!J19+'04'!J19+'05'!J19+'06'!J19+'07'!J19+'08'!J19+'09'!J19+'10'!J19+'11'!J19+'12'!J19</f>
        <v>0</v>
      </c>
      <c r="K19" s="97">
        <f>'01'!K19+'13'!K19+'02'!K19+'03'!K19+'04'!K19+'05'!K19+'06'!K19+'07'!K19+'08'!K19+'09'!K19+'10'!K19+'11'!K19+'12'!K19</f>
        <v>0</v>
      </c>
      <c r="L19" s="97">
        <f>'01'!L19+'13'!L19+'02'!L19+'03'!L19+'04'!L19+'05'!L19+'06'!L19+'07'!L19+'08'!L19+'09'!L19+'10'!L19+'11'!L19+'12'!L19</f>
        <v>0</v>
      </c>
      <c r="M19" s="144">
        <f>IF($G$4=0,0,('01'!M19+'13'!M19+'02'!M19+'03'!M19+'04'!M19+'05'!M19+'06'!M19+'07'!M19+'08'!M19+'09'!M19+'10'!M19+'11'!M19+'12'!M19)/$G$4)</f>
        <v>0</v>
      </c>
      <c r="N19" s="98"/>
      <c r="O19" s="99">
        <f t="shared" si="0"/>
        <v>0</v>
      </c>
      <c r="P19" s="100">
        <f t="shared" si="1"/>
        <v>0</v>
      </c>
    </row>
    <row r="20" spans="1:16" ht="12.75" customHeight="1">
      <c r="A20" s="95" t="s">
        <v>30</v>
      </c>
      <c r="B20" s="96">
        <v>79</v>
      </c>
      <c r="C20" s="97">
        <f>'01'!C20+'13'!C20+'02'!C20+'03'!C20+'04'!C20+'05'!C20+'06'!C20+'07'!C20+'08'!C20+'09'!C20+'10'!C20+'11'!C20+'12'!C20</f>
        <v>0</v>
      </c>
      <c r="D20" s="97">
        <f>'01'!D20+'13'!D20+'02'!D20+'03'!D20+'04'!D20+'05'!D20+'06'!D20+'07'!D20+'08'!D20+'09'!D20+'10'!D20+'11'!D20+'12'!D20</f>
        <v>0</v>
      </c>
      <c r="E20" s="97">
        <f>'01'!E20+'13'!E20+'02'!E20+'03'!E20+'04'!E20+'05'!E20+'06'!E20+'07'!E20+'08'!E20+'09'!E20+'10'!E20+'11'!E20+'12'!E20</f>
        <v>0</v>
      </c>
      <c r="F20" s="97">
        <f>'01'!F20+'13'!F20+'02'!F20+'03'!F20+'04'!F20+'05'!F20+'06'!F20+'07'!F20+'08'!F20+'09'!F20+'10'!F20+'11'!F20+'12'!F20</f>
        <v>0</v>
      </c>
      <c r="G20" s="97">
        <f>'01'!G20+'13'!G20+'02'!G20+'03'!G20+'04'!G20+'05'!G20+'06'!G20+'07'!G20+'08'!G20+'09'!G20+'10'!G20+'11'!G20+'12'!G20</f>
        <v>0</v>
      </c>
      <c r="H20" s="97">
        <f>'01'!H20+'13'!H20+'02'!H20+'03'!H20+'04'!H20+'05'!H20+'06'!H20+'07'!H20+'08'!H20+'09'!H20+'10'!H20+'11'!H20+'12'!H20</f>
        <v>0</v>
      </c>
      <c r="I20" s="97">
        <f>'01'!I20+'13'!I20+'02'!I20+'03'!I20+'04'!I20+'05'!I20+'06'!I20+'07'!I20+'08'!I20+'09'!I20+'10'!I20+'11'!I20+'12'!I20</f>
        <v>0</v>
      </c>
      <c r="J20" s="97">
        <f>'01'!J20+'13'!J20+'02'!J20+'03'!J20+'04'!J20+'05'!J20+'06'!J20+'07'!J20+'08'!J20+'09'!J20+'10'!J20+'11'!J20+'12'!J20</f>
        <v>0</v>
      </c>
      <c r="K20" s="97">
        <f>'01'!K20+'13'!K20+'02'!K20+'03'!K20+'04'!K20+'05'!K20+'06'!K20+'07'!K20+'08'!K20+'09'!K20+'10'!K20+'11'!K20+'12'!K20</f>
        <v>0</v>
      </c>
      <c r="L20" s="97">
        <f>'01'!L20+'13'!L20+'02'!L20+'03'!L20+'04'!L20+'05'!L20+'06'!L20+'07'!L20+'08'!L20+'09'!L20+'10'!L20+'11'!L20+'12'!L20</f>
        <v>0</v>
      </c>
      <c r="M20" s="144">
        <f>IF($G$4=0,0,('01'!M20+'13'!M20+'02'!M20+'03'!M20+'04'!M20+'05'!M20+'06'!M20+'07'!M20+'08'!M20+'09'!M20+'10'!M20+'11'!M20+'12'!M20)/$G$4)</f>
        <v>0</v>
      </c>
      <c r="N20" s="98"/>
      <c r="O20" s="99">
        <f t="shared" si="0"/>
        <v>0</v>
      </c>
      <c r="P20" s="100">
        <f t="shared" si="1"/>
        <v>0</v>
      </c>
    </row>
    <row r="21" spans="1:16" ht="12.75" customHeight="1">
      <c r="A21" s="95" t="s">
        <v>31</v>
      </c>
      <c r="B21" s="96">
        <v>80</v>
      </c>
      <c r="C21" s="97">
        <f>'01'!C21+'13'!C21+'02'!C21+'03'!C21+'04'!C21+'05'!C21+'06'!C21+'07'!C21+'08'!C21+'09'!C21+'10'!C21+'11'!C21+'12'!C21</f>
        <v>0</v>
      </c>
      <c r="D21" s="97">
        <f>'01'!D21+'13'!D21+'02'!D21+'03'!D21+'04'!D21+'05'!D21+'06'!D21+'07'!D21+'08'!D21+'09'!D21+'10'!D21+'11'!D21+'12'!D21</f>
        <v>0</v>
      </c>
      <c r="E21" s="97">
        <f>'01'!E21+'13'!E21+'02'!E21+'03'!E21+'04'!E21+'05'!E21+'06'!E21+'07'!E21+'08'!E21+'09'!E21+'10'!E21+'11'!E21+'12'!E21</f>
        <v>0</v>
      </c>
      <c r="F21" s="97">
        <f>'01'!F21+'13'!F21+'02'!F21+'03'!F21+'04'!F21+'05'!F21+'06'!F21+'07'!F21+'08'!F21+'09'!F21+'10'!F21+'11'!F21+'12'!F21</f>
        <v>0</v>
      </c>
      <c r="G21" s="97">
        <f>'01'!G21+'13'!G21+'02'!G21+'03'!G21+'04'!G21+'05'!G21+'06'!G21+'07'!G21+'08'!G21+'09'!G21+'10'!G21+'11'!G21+'12'!G21</f>
        <v>0</v>
      </c>
      <c r="H21" s="97">
        <f>'01'!H21+'13'!H21+'02'!H21+'03'!H21+'04'!H21+'05'!H21+'06'!H21+'07'!H21+'08'!H21+'09'!H21+'10'!H21+'11'!H21+'12'!H21</f>
        <v>0</v>
      </c>
      <c r="I21" s="97">
        <f>'01'!I21+'13'!I21+'02'!I21+'03'!I21+'04'!I21+'05'!I21+'06'!I21+'07'!I21+'08'!I21+'09'!I21+'10'!I21+'11'!I21+'12'!I21</f>
        <v>0</v>
      </c>
      <c r="J21" s="97">
        <f>'01'!J21+'13'!J21+'02'!J21+'03'!J21+'04'!J21+'05'!J21+'06'!J21+'07'!J21+'08'!J21+'09'!J21+'10'!J21+'11'!J21+'12'!J21</f>
        <v>0</v>
      </c>
      <c r="K21" s="97">
        <f>'01'!K21+'13'!K21+'02'!K21+'03'!K21+'04'!K21+'05'!K21+'06'!K21+'07'!K21+'08'!K21+'09'!K21+'10'!K21+'11'!K21+'12'!K21</f>
        <v>0</v>
      </c>
      <c r="L21" s="97">
        <f>'01'!L21+'13'!L21+'02'!L21+'03'!L21+'04'!L21+'05'!L21+'06'!L21+'07'!L21+'08'!L21+'09'!L21+'10'!L21+'11'!L21+'12'!L21</f>
        <v>0</v>
      </c>
      <c r="M21" s="144">
        <f>IF($G$4=0,0,('01'!M21+'13'!M21+'02'!M21+'03'!M21+'04'!M21+'05'!M21+'06'!M21+'07'!M21+'08'!M21+'09'!M21+'10'!M21+'11'!M21+'12'!M21)/$G$4)</f>
        <v>0</v>
      </c>
      <c r="N21" s="98"/>
      <c r="O21" s="99">
        <f t="shared" si="0"/>
        <v>0</v>
      </c>
      <c r="P21" s="100">
        <f t="shared" si="1"/>
        <v>0</v>
      </c>
    </row>
    <row r="22" spans="1:21" s="102" customFormat="1" ht="12.75" customHeight="1">
      <c r="A22" s="95" t="s">
        <v>38</v>
      </c>
      <c r="B22" s="96">
        <v>81</v>
      </c>
      <c r="C22" s="97">
        <f>'01'!C22+'13'!C22+'02'!C22+'03'!C22+'04'!C22+'05'!C22+'06'!C22+'07'!C22+'08'!C22+'09'!C22+'10'!C22+'11'!C22+'12'!C22</f>
        <v>2875944</v>
      </c>
      <c r="D22" s="97">
        <f>'01'!D22+'13'!D22+'02'!D22+'03'!D22+'04'!D22+'05'!D22+'06'!D22+'07'!J22+'08'!D22+'09'!D22+'10'!D22+'11'!D22+'12'!D22</f>
        <v>83568</v>
      </c>
      <c r="E22" s="97">
        <f>'01'!E22+'13'!E22+'02'!E22+'03'!E22+'04'!E22+'05'!E22+'06'!E22+'07'!E22+'08'!E22+'09'!E22+'10'!E22+'11'!E22+'12'!E22</f>
        <v>0</v>
      </c>
      <c r="F22" s="97">
        <f>'01'!F22+'13'!F22+'02'!F22+'03'!F22+'04'!F22+'05'!F22+'06'!F22+'07'!F22+'08'!F22+'09'!F22+'10'!F22+'11'!F22+'12'!F22</f>
        <v>0</v>
      </c>
      <c r="G22" s="97">
        <f>'01'!G22+'13'!G22+'02'!G22+'03'!G22+'04'!G22+'05'!G22+'06'!G22+'07'!G22+'08'!G22+'09'!G22+'10'!G22+'11'!G22+'12'!G22</f>
        <v>0</v>
      </c>
      <c r="H22" s="97">
        <f>'01'!H22+'13'!H22+'02'!H22+'03'!H22+'04'!H22+'05'!H22+'06'!H22+'07'!H22+'08'!H22+'09'!H22+'10'!H22+'11'!H22+'12'!H22</f>
        <v>0</v>
      </c>
      <c r="I22" s="97">
        <f>'01'!I22+'13'!I22+'02'!I22+'03'!I22+'04'!I22+'05'!I22+'06'!I22+'07'!I22+'08'!I22+'09'!I22+'10'!I22+'11'!I22+'12'!I22</f>
        <v>0</v>
      </c>
      <c r="J22" s="97">
        <f>'01'!J22+'13'!J22+'02'!J22+'03'!J22+'04'!J22+'05'!J22+'06'!J22+'07'!J22+'08'!J22+'09'!J22+'10'!J22+'11'!J22+'12'!J22</f>
        <v>238021</v>
      </c>
      <c r="K22" s="97">
        <f>'01'!K22+'13'!K22+'02'!K22+'03'!K22+'04'!K22+'05'!K22+'06'!K22+'07'!K22+'08'!K22+'09'!K22+'10'!K22+'11'!K22+'12'!K22</f>
        <v>3155749</v>
      </c>
      <c r="L22" s="97">
        <f>'01'!L22+'13'!L22+'02'!L22+'03'!L22+'04'!L22+'05'!L22+'06'!L22+'07'!L22+'08'!L22+'09'!L22+'10'!L22+'11'!L22+'12'!L22</f>
        <v>71292</v>
      </c>
      <c r="M22" s="144">
        <f>IF($G$4=0,0,('01'!M22+'13'!M22+'02'!M22+'03'!M22+'04'!M22+'05'!M22+'06'!M22+'07'!M22+'08'!M22+'09'!M22+'10'!M22+'11'!M22+'12'!M22)/$G$4)</f>
        <v>4.125</v>
      </c>
      <c r="N22" s="98">
        <v>5306111</v>
      </c>
      <c r="O22" s="99">
        <f t="shared" si="0"/>
        <v>0.5947385948013526</v>
      </c>
      <c r="P22" s="100">
        <f t="shared" si="1"/>
        <v>95628.75757575757</v>
      </c>
      <c r="Q22" s="65"/>
      <c r="R22" s="65"/>
      <c r="S22" s="65"/>
      <c r="T22" s="65"/>
      <c r="U22" s="65"/>
    </row>
    <row r="23" spans="1:16" ht="12.75">
      <c r="A23" s="95" t="s">
        <v>39</v>
      </c>
      <c r="B23" s="96">
        <v>82</v>
      </c>
      <c r="C23" s="97">
        <f>'01'!C23+'13'!C23+'02'!C23+'03'!C23+'04'!C23+'05'!C23+'06'!C23+'07'!C23+'08'!C23+'09'!C23+'10'!C23+'11'!C23+'12'!C23</f>
        <v>803840</v>
      </c>
      <c r="D23" s="97">
        <f>'01'!D23+'13'!D23+'02'!D23+'03'!D23+'04'!D23+'05'!D23+'06'!D23+'07'!J23+'08'!D23+'09'!D23+'10'!D23+'11'!D23+'12'!D23</f>
        <v>19236</v>
      </c>
      <c r="E23" s="97">
        <f>'01'!E23+'13'!E23+'02'!E23+'03'!E23+'04'!E23+'05'!E23+'06'!E23+'07'!E23+'08'!E23+'09'!E23+'10'!E23+'11'!E23+'12'!E23</f>
        <v>0</v>
      </c>
      <c r="F23" s="97">
        <f>'01'!F23+'13'!F23+'02'!F23+'03'!F23+'04'!F23+'05'!F23+'06'!F23+'07'!F23+'08'!F23+'09'!F23+'10'!F23+'11'!F23+'12'!F23</f>
        <v>0</v>
      </c>
      <c r="G23" s="97">
        <f>'01'!G23+'13'!G23+'02'!G23+'03'!G23+'04'!G23+'05'!G23+'06'!G23+'07'!G23+'08'!G23+'09'!G23+'10'!G23+'11'!G23+'12'!G23</f>
        <v>0</v>
      </c>
      <c r="H23" s="97">
        <f>'01'!H23+'13'!H23+'02'!H23+'03'!H23+'04'!H23+'05'!H23+'06'!H23+'07'!H23+'08'!H23+'09'!H23+'10'!H23+'11'!H23+'12'!H23</f>
        <v>0</v>
      </c>
      <c r="I23" s="97">
        <f>'01'!I23+'13'!I23+'02'!I23+'03'!I23+'04'!I23+'05'!I23+'06'!I23+'07'!I23+'08'!I23+'09'!I23+'10'!I23+'11'!I23+'12'!I23</f>
        <v>0</v>
      </c>
      <c r="J23" s="97">
        <f>'01'!J23+'13'!J23+'02'!J23+'03'!J23+'04'!J23+'05'!J23+'06'!J23+'07'!J23+'08'!J23+'09'!J23+'10'!J23+'11'!J23+'12'!J23</f>
        <v>38472</v>
      </c>
      <c r="K23" s="97">
        <f>'01'!K23+'13'!K23+'02'!K23+'03'!K23+'04'!K23+'05'!K23+'06'!K23+'07'!K23+'08'!K23+'09'!K23+'10'!K23+'11'!K23+'12'!K23</f>
        <v>851930</v>
      </c>
      <c r="L23" s="97">
        <f>'01'!L23+'13'!L23+'02'!L23+'03'!L23+'04'!L23+'05'!L23+'06'!L23+'07'!L23+'08'!L23+'09'!L23+'10'!L23+'11'!L23+'12'!L23</f>
        <v>15000</v>
      </c>
      <c r="M23" s="144">
        <f>IF($G$4=0,0,('01'!M23+'13'!M23+'02'!M23+'03'!M23+'04'!M23+'05'!M23+'06'!M23+'07'!M23+'08'!M23+'09'!M23+'10'!M23+'11'!M23+'12'!M23)/$G$4)</f>
        <v>1</v>
      </c>
      <c r="N23" s="98">
        <v>1432445</v>
      </c>
      <c r="O23" s="99">
        <f t="shared" si="0"/>
        <v>0.5947383669181016</v>
      </c>
      <c r="P23" s="100">
        <f t="shared" si="1"/>
        <v>106491.25</v>
      </c>
    </row>
    <row r="24" spans="1:16" ht="12.75">
      <c r="A24" s="95" t="s">
        <v>32</v>
      </c>
      <c r="B24" s="96">
        <v>83</v>
      </c>
      <c r="C24" s="97">
        <f>'01'!C24+'13'!C24+'02'!C24+'03'!C24+'04'!C24+'05'!C24+'06'!C24+'07'!C24+'08'!C24+'09'!C24+'10'!C24+'11'!C24+'12'!C24</f>
        <v>4010202</v>
      </c>
      <c r="D24" s="97">
        <f>'01'!D24+'13'!D24+'02'!D24+'03'!D24+'04'!D24+'05'!D24+'06'!D24+'07'!J24+'08'!D24+'09'!D24+'10'!D24+'11'!D24+'12'!D24</f>
        <v>74460</v>
      </c>
      <c r="E24" s="97">
        <f>'01'!E24+'13'!E24+'02'!E24+'03'!E24+'04'!E24+'05'!E24+'06'!E24+'07'!E24+'08'!E24+'09'!E24+'10'!E24+'11'!E24+'12'!E24</f>
        <v>0</v>
      </c>
      <c r="F24" s="97">
        <f>'01'!F24+'13'!F24+'02'!F24+'03'!F24+'04'!F24+'05'!F24+'06'!F24+'07'!F24+'08'!F24+'09'!F24+'10'!F24+'11'!F24+'12'!F24</f>
        <v>0</v>
      </c>
      <c r="G24" s="97">
        <f>'01'!G24+'13'!G24+'02'!G24+'03'!G24+'04'!G24+'05'!G24+'06'!G24+'07'!G24+'08'!G24+'09'!G24+'10'!G24+'11'!G24+'12'!G24</f>
        <v>217604</v>
      </c>
      <c r="H24" s="97">
        <f>'01'!H24+'13'!H24+'02'!H24+'03'!H24+'04'!H24+'05'!H24+'06'!H24+'07'!H24+'08'!H24+'09'!H24+'10'!H24+'11'!H24+'12'!H24</f>
        <v>37055</v>
      </c>
      <c r="I24" s="97">
        <f>'01'!I24+'13'!I24+'02'!I24+'03'!I24+'04'!I24+'05'!I24+'06'!I24+'07'!I24+'08'!I24+'09'!I24+'10'!I24+'11'!I24+'12'!I24</f>
        <v>0</v>
      </c>
      <c r="J24" s="97">
        <f>'01'!J24+'13'!J24+'02'!J24+'03'!J24+'04'!J24+'05'!J24+'06'!J24+'07'!J24+'08'!J24+'09'!J24+'10'!J24+'11'!J24+'12'!J24</f>
        <v>323501</v>
      </c>
      <c r="K24" s="97">
        <f>'01'!K24+'13'!K24+'02'!K24+'03'!K24+'04'!K24+'05'!K24+'06'!K24+'07'!K24+'08'!K24+'09'!K24+'10'!K24+'11'!K24+'12'!K24</f>
        <v>4630767</v>
      </c>
      <c r="L24" s="97">
        <f>'01'!L24+'13'!L24+'02'!L24+'03'!L24+'04'!L24+'05'!L24+'06'!L24+'07'!L24+'08'!L24+'09'!L24+'10'!L24+'11'!L24+'12'!L24</f>
        <v>75117</v>
      </c>
      <c r="M24" s="144">
        <f>IF($G$4=0,0,('01'!M24+'13'!M24+'02'!M24+'03'!M24+'04'!M24+'05'!M24+'06'!M24+'07'!M24+'08'!M24+'09'!M24+'10'!M24+'11'!M24+'12'!M24)/$G$4)</f>
        <v>4.75</v>
      </c>
      <c r="N24" s="98">
        <v>7786223</v>
      </c>
      <c r="O24" s="99">
        <f t="shared" si="0"/>
        <v>0.5947385529543657</v>
      </c>
      <c r="P24" s="100">
        <f t="shared" si="1"/>
        <v>121862.28947368421</v>
      </c>
    </row>
    <row r="25" spans="1:16" ht="12.75">
      <c r="A25" s="95" t="s">
        <v>33</v>
      </c>
      <c r="B25" s="96">
        <v>84</v>
      </c>
      <c r="C25" s="97">
        <f>'01'!C25+'13'!C25+'02'!C25+'03'!C25+'04'!C25+'05'!C25+'06'!C25+'07'!C25+'08'!C25+'09'!C25+'10'!C25+'11'!C25+'12'!C25</f>
        <v>35900169</v>
      </c>
      <c r="D25" s="97">
        <f>'01'!D25+'13'!D25+'02'!D25+'03'!D25+'04'!D25+'05'!D25+'06'!D25+'07'!J25+'08'!D25+'09'!D25+'10'!D25+'11'!D25+'12'!D25</f>
        <v>840302</v>
      </c>
      <c r="E25" s="97">
        <f>'01'!E25+'13'!E25+'02'!E25+'03'!E25+'04'!E25+'05'!E25+'06'!E25+'07'!E25+'08'!E25+'09'!E25+'10'!E25+'11'!E25+'12'!E25</f>
        <v>0</v>
      </c>
      <c r="F25" s="97">
        <f>'01'!F25+'13'!F25+'02'!F25+'03'!F25+'04'!F25+'05'!F25+'06'!F25+'07'!F25+'08'!F25+'09'!F25+'10'!F25+'11'!F25+'12'!F25</f>
        <v>0</v>
      </c>
      <c r="G25" s="97">
        <f>'01'!G25+'13'!G25+'02'!G25+'03'!G25+'04'!G25+'05'!G25+'06'!G25+'07'!G25+'08'!G25+'09'!G25+'10'!G25+'11'!G25+'12'!G25</f>
        <v>1220128</v>
      </c>
      <c r="H25" s="97">
        <f>'01'!H25+'13'!H25+'02'!H25+'03'!H25+'04'!H25+'05'!H25+'06'!H25+'07'!H25+'08'!H25+'09'!H25+'10'!H25+'11'!H25+'12'!H25</f>
        <v>171881</v>
      </c>
      <c r="I25" s="97">
        <f>'01'!I25+'13'!I25+'02'!I25+'03'!I25+'04'!I25+'05'!I25+'06'!I25+'07'!I25+'08'!I25+'09'!I25+'10'!I25+'11'!I25+'12'!I25</f>
        <v>0</v>
      </c>
      <c r="J25" s="97">
        <f>'01'!J25+'13'!J25+'02'!J25+'03'!J25+'04'!J25+'05'!J25+'06'!J25+'07'!J25+'08'!J25+'09'!J25+'10'!J25+'11'!J25+'12'!J25</f>
        <v>2693417</v>
      </c>
      <c r="K25" s="97">
        <f>'01'!K25+'13'!K25+'02'!K25+'03'!K25+'04'!K25+'05'!K25+'06'!K25+'07'!K25+'08'!K25+'09'!K25+'10'!K25+'11'!K25+'12'!K25</f>
        <v>40392490</v>
      </c>
      <c r="L25" s="97">
        <f>'01'!L25+'13'!L25+'02'!L25+'03'!L25+'04'!L25+'05'!L25+'06'!L25+'07'!L25+'08'!L25+'09'!L25+'10'!L25+'11'!L25+'12'!L25</f>
        <v>1645025</v>
      </c>
      <c r="M25" s="144">
        <f>IF($G$4=0,0,('01'!M25+'13'!M25+'02'!M25+'03'!M25+'04'!M25+'05'!M25+'06'!M25+'07'!M25+'08'!M25+'09'!M25+'10'!M25+'11'!M25+'12'!M25)/$G$4)</f>
        <v>40.25</v>
      </c>
      <c r="N25" s="98">
        <v>67916381</v>
      </c>
      <c r="O25" s="99">
        <f t="shared" si="0"/>
        <v>0.5947385506303701</v>
      </c>
      <c r="P25" s="100">
        <f t="shared" si="1"/>
        <v>125442.51552795031</v>
      </c>
    </row>
    <row r="26" spans="1:16" ht="12.75">
      <c r="A26" s="95" t="s">
        <v>34</v>
      </c>
      <c r="B26" s="96">
        <v>85</v>
      </c>
      <c r="C26" s="97">
        <f>'01'!C26+'13'!C26+'02'!C26+'03'!C26+'04'!C26+'05'!C26+'06'!C26+'07'!C26+'08'!C26+'09'!C26+'10'!C26+'11'!C26+'12'!C26</f>
        <v>3104324</v>
      </c>
      <c r="D26" s="97">
        <f>'01'!D26+'13'!D26+'02'!D26+'03'!D26+'04'!D26+'05'!D26+'06'!D26+'07'!J26+'08'!D26+'09'!D26+'10'!D26+'11'!D26+'12'!D26</f>
        <v>86454</v>
      </c>
      <c r="E26" s="97">
        <f>'01'!E26+'13'!E26+'02'!E26+'03'!E26+'04'!E26+'05'!E26+'06'!E26+'07'!E26+'08'!E26+'09'!E26+'10'!E26+'11'!E26+'12'!E26</f>
        <v>0</v>
      </c>
      <c r="F26" s="97">
        <f>'01'!F26+'13'!F26+'02'!F26+'03'!F26+'04'!F26+'05'!F26+'06'!F26+'07'!F26+'08'!F26+'09'!F26+'10'!F26+'11'!F26+'12'!F26</f>
        <v>59324</v>
      </c>
      <c r="G26" s="97">
        <f>'01'!G26+'13'!G26+'02'!G26+'03'!G26+'04'!G26+'05'!G26+'06'!G26+'07'!G26+'08'!G26+'09'!G26+'10'!G26+'11'!G26+'12'!G26</f>
        <v>875962</v>
      </c>
      <c r="H26" s="97">
        <f>'01'!H26+'13'!H26+'02'!H26+'03'!H26+'04'!H26+'05'!H26+'06'!H26+'07'!H26+'08'!H26+'09'!H26+'10'!H26+'11'!H26+'12'!H26</f>
        <v>95104</v>
      </c>
      <c r="I26" s="97">
        <f>'01'!I26+'13'!I26+'02'!I26+'03'!I26+'04'!I26+'05'!I26+'06'!I26+'07'!I26+'08'!I26+'09'!I26+'10'!I26+'11'!I26+'12'!I26</f>
        <v>0</v>
      </c>
      <c r="J26" s="97">
        <f>'01'!J26+'13'!J26+'02'!J26+'03'!J26+'04'!J26+'05'!J26+'06'!J26+'07'!J26+'08'!J26+'09'!J26+'10'!J26+'11'!J26+'12'!J26</f>
        <v>300514</v>
      </c>
      <c r="K26" s="97">
        <f>'01'!K26+'13'!K26+'02'!K26+'03'!K26+'04'!K26+'05'!K26+'06'!K26+'07'!K26+'08'!K26+'09'!K26+'10'!K26+'11'!K26+'12'!K26</f>
        <v>4478455</v>
      </c>
      <c r="L26" s="97">
        <f>'01'!L26+'13'!L26+'02'!L26+'03'!L26+'04'!L26+'05'!L26+'06'!L26+'07'!L26+'08'!L26+'09'!L26+'10'!L26+'11'!L26+'12'!L26</f>
        <v>247042</v>
      </c>
      <c r="M26" s="144">
        <f>IF($G$4=0,0,('01'!M26+'13'!M26+'02'!M26+'03'!M26+'04'!M26+'05'!M26+'06'!M26+'07'!M26+'08'!M26+'09'!M26+'10'!M26+'11'!M26+'12'!M26)/$G$4)</f>
        <v>3</v>
      </c>
      <c r="N26" s="98">
        <v>7530124</v>
      </c>
      <c r="O26" s="99">
        <f t="shared" si="0"/>
        <v>0.5947385461381512</v>
      </c>
      <c r="P26" s="100">
        <f t="shared" si="1"/>
        <v>186602.29166666666</v>
      </c>
    </row>
    <row r="27" spans="1:16" ht="12.75">
      <c r="A27" s="95" t="s">
        <v>35</v>
      </c>
      <c r="B27" s="96">
        <v>86</v>
      </c>
      <c r="C27" s="97">
        <f>'01'!C27+'13'!C27+'02'!C27+'03'!C27+'04'!C27+'05'!C27+'06'!C27+'07'!C27+'08'!C27+'09'!C27+'10'!C27+'11'!C27+'12'!C27</f>
        <v>10027716</v>
      </c>
      <c r="D27" s="97">
        <f>'01'!D27+'13'!D27+'02'!D27+'03'!D27+'04'!D27+'05'!D27+'06'!D27+'07'!J27+'08'!D27+'09'!D27+'10'!D27+'11'!D27+'12'!D27</f>
        <v>236650</v>
      </c>
      <c r="E27" s="97">
        <f>'01'!E27+'13'!E27+'02'!E27+'03'!E27+'04'!E27+'05'!E27+'06'!E27+'07'!E27+'08'!E27+'09'!E27+'10'!E27+'11'!E27+'12'!E27</f>
        <v>0</v>
      </c>
      <c r="F27" s="97">
        <f>'01'!F27+'13'!F27+'02'!F27+'03'!F27+'04'!F27+'05'!F27+'06'!F27+'07'!F27+'08'!F27+'09'!F27+'10'!F27+'11'!F27+'12'!F27</f>
        <v>0</v>
      </c>
      <c r="G27" s="97">
        <f>'01'!G27+'13'!G27+'02'!G27+'03'!G27+'04'!G27+'05'!G27+'06'!G27+'07'!G27+'08'!G27+'09'!G27+'10'!G27+'11'!G27+'12'!G27</f>
        <v>10154</v>
      </c>
      <c r="H27" s="97">
        <f>'01'!H27+'13'!H27+'02'!H27+'03'!H27+'04'!H27+'05'!H27+'06'!H27+'07'!H27+'08'!H27+'09'!H27+'10'!H27+'11'!H27+'12'!H27</f>
        <v>0</v>
      </c>
      <c r="I27" s="97">
        <f>'01'!I27+'13'!I27+'02'!I27+'03'!I27+'04'!I27+'05'!I27+'06'!I27+'07'!I27+'08'!I27+'09'!I27+'10'!I27+'11'!I27+'12'!I27</f>
        <v>0</v>
      </c>
      <c r="J27" s="97">
        <f>'01'!J27+'13'!J27+'02'!J27+'03'!J27+'04'!J27+'05'!J27+'06'!J27+'07'!J27+'08'!J27+'09'!J27+'10'!J27+'11'!J27+'12'!J27</f>
        <v>765849</v>
      </c>
      <c r="K27" s="97">
        <f>'01'!K27+'13'!K27+'02'!K27+'03'!K27+'04'!K27+'05'!K27+'06'!K27+'07'!K27+'08'!K27+'09'!K27+'10'!K27+'11'!K27+'12'!K27</f>
        <v>10922044</v>
      </c>
      <c r="L27" s="97">
        <f>'01'!L27+'13'!L27+'02'!L27+'03'!L27+'04'!L27+'05'!L27+'06'!L27+'07'!L27+'08'!L27+'09'!L27+'10'!L27+'11'!L27+'12'!L27</f>
        <v>170000</v>
      </c>
      <c r="M27" s="144">
        <f>IF($G$4=0,0,('01'!M27+'13'!M27+'02'!M27+'03'!M27+'04'!M27+'05'!M27+'06'!M27+'07'!M27+'08'!M27+'09'!M27+'10'!M27+'11'!M27+'12'!M27)/$G$4)</f>
        <v>6</v>
      </c>
      <c r="N27" s="98">
        <v>18364446</v>
      </c>
      <c r="O27" s="99">
        <f t="shared" si="0"/>
        <v>0.5947385507844887</v>
      </c>
      <c r="P27" s="100">
        <f t="shared" si="1"/>
        <v>227542.58333333334</v>
      </c>
    </row>
    <row r="28" spans="1:16" ht="12.75">
      <c r="A28" s="95" t="s">
        <v>36</v>
      </c>
      <c r="B28" s="96">
        <v>87</v>
      </c>
      <c r="C28" s="97">
        <f>'01'!C28+'13'!C28+'02'!C28+'03'!C28+'04'!C28+'05'!C28+'06'!C28+'07'!C28+'08'!C28+'09'!C28+'10'!C28+'11'!C28+'12'!C28</f>
        <v>2856140</v>
      </c>
      <c r="D28" s="97">
        <f>'01'!D28+'13'!D28+'02'!D28+'03'!D28+'04'!D28+'05'!D28+'06'!D28+'07'!J28+'08'!D28+'09'!D28+'10'!D28+'11'!D28+'12'!D28</f>
        <v>43384</v>
      </c>
      <c r="E28" s="97">
        <f>'01'!E28+'13'!E28+'02'!E28+'03'!E28+'04'!E28+'05'!E28+'06'!E28+'07'!E28+'08'!E28+'09'!E28+'10'!E28+'11'!E28+'12'!E28</f>
        <v>0</v>
      </c>
      <c r="F28" s="97">
        <f>'01'!F28+'13'!F28+'02'!F28+'03'!F28+'04'!F28+'05'!F28+'06'!F28+'07'!F28+'08'!F28+'09'!F28+'10'!F28+'11'!F28+'12'!F28</f>
        <v>179400</v>
      </c>
      <c r="G28" s="97">
        <f>'01'!G28+'13'!G28+'02'!G28+'03'!G28+'04'!G28+'05'!G28+'06'!G28+'07'!G28+'08'!G28+'09'!G28+'10'!G28+'11'!G28+'12'!G28</f>
        <v>265200</v>
      </c>
      <c r="H28" s="97">
        <f>'01'!H28+'13'!H28+'02'!H28+'03'!H28+'04'!H28+'05'!H28+'06'!H28+'07'!H28+'08'!H28+'09'!H28+'10'!H28+'11'!H28+'12'!H28</f>
        <v>39200</v>
      </c>
      <c r="I28" s="97">
        <f>'01'!I28+'13'!I28+'02'!I28+'03'!I28+'04'!I28+'05'!I28+'06'!I28+'07'!I28+'08'!I28+'09'!I28+'10'!I28+'11'!I28+'12'!I28</f>
        <v>0</v>
      </c>
      <c r="J28" s="97">
        <f>'01'!J28+'13'!J28+'02'!J28+'03'!J28+'04'!J28+'05'!J28+'06'!J28+'07'!J28+'08'!J28+'09'!J28+'10'!J28+'11'!J28+'12'!J28</f>
        <v>230241</v>
      </c>
      <c r="K28" s="97">
        <f>'01'!K28+'13'!K28+'02'!K28+'03'!K28+'04'!K28+'05'!K28+'06'!K28+'07'!K28+'08'!K28+'09'!K28+'10'!K28+'11'!K28+'12'!K28</f>
        <v>3591873</v>
      </c>
      <c r="L28" s="97">
        <f>'01'!L28+'13'!L28+'02'!L28+'03'!L28+'04'!L28+'05'!L28+'06'!L28+'07'!L28+'08'!L28+'09'!L28+'10'!L28+'11'!L28+'12'!L28</f>
        <v>15000</v>
      </c>
      <c r="M28" s="144">
        <f>IF($G$4=0,0,('01'!M28+'13'!M28+'02'!M28+'03'!M28+'04'!M28+'05'!M28+'06'!M28+'07'!M28+'08'!M28+'09'!M28+'10'!M28+'11'!M28+'12'!M28)/$G$4)</f>
        <v>1.625</v>
      </c>
      <c r="N28" s="98">
        <v>6039415</v>
      </c>
      <c r="O28" s="99">
        <f t="shared" si="0"/>
        <v>0.5947385632548848</v>
      </c>
      <c r="P28" s="100">
        <f t="shared" si="1"/>
        <v>276297.92307692306</v>
      </c>
    </row>
    <row r="29" spans="1:16" ht="12.75">
      <c r="A29" s="95" t="s">
        <v>37</v>
      </c>
      <c r="B29" s="96">
        <v>88</v>
      </c>
      <c r="C29" s="97">
        <f>'01'!C29+'13'!C29+'02'!C29+'03'!C29+'04'!C29+'05'!C29+'06'!C29+'07'!C29+'08'!C29+'09'!C29+'10'!C29+'11'!C29+'12'!C29</f>
        <v>4895454</v>
      </c>
      <c r="D29" s="97">
        <f>'01'!D29+'13'!D29+'02'!D29+'03'!D29+'04'!D29+'05'!D29+'06'!D29+'07'!J29+'08'!D29+'09'!D29+'10'!D29+'11'!D29+'12'!D29</f>
        <v>112900</v>
      </c>
      <c r="E29" s="97">
        <f>'01'!E29+'13'!E29+'02'!E29+'03'!E29+'04'!E29+'05'!E29+'06'!E29+'07'!E29+'08'!E29+'09'!E29+'10'!E29+'11'!E29+'12'!E29</f>
        <v>0</v>
      </c>
      <c r="F29" s="97">
        <f>'01'!F29+'13'!F29+'02'!F29+'03'!F29+'04'!F29+'05'!F29+'06'!F29+'07'!F29+'08'!F29+'09'!F29+'10'!F29+'11'!F29+'12'!F29</f>
        <v>0</v>
      </c>
      <c r="G29" s="97">
        <f>'01'!G29+'13'!G29+'02'!G29+'03'!G29+'04'!G29+'05'!G29+'06'!G29+'07'!G29+'08'!G29+'09'!G29+'10'!G29+'11'!G29+'12'!G29</f>
        <v>235200</v>
      </c>
      <c r="H29" s="97">
        <f>'01'!H29+'13'!H29+'02'!H29+'03'!H29+'04'!H29+'05'!H29+'06'!H29+'07'!H29+'08'!H29+'09'!H29+'10'!H29+'11'!H29+'12'!H29</f>
        <v>39200</v>
      </c>
      <c r="I29" s="97">
        <f>'01'!I29+'13'!I29+'02'!I29+'03'!I29+'04'!I29+'05'!I29+'06'!I29+'07'!I29+'08'!I29+'09'!I29+'10'!I29+'11'!I29+'12'!I29</f>
        <v>0</v>
      </c>
      <c r="J29" s="97">
        <f>'01'!J29+'13'!J29+'02'!J29+'03'!J29+'04'!J29+'05'!J29+'06'!J29+'07'!J29+'08'!J29+'09'!J29+'10'!J29+'11'!J29+'12'!J29</f>
        <v>343875</v>
      </c>
      <c r="K29" s="97">
        <f>'01'!K29+'13'!K29+'02'!K29+'03'!K29+'04'!K29+'05'!K29+'06'!K29+'07'!K29+'08'!K29+'09'!K29+'10'!K29+'11'!K29+'12'!K29</f>
        <v>5560179</v>
      </c>
      <c r="L29" s="97">
        <f>'01'!L29+'13'!L29+'02'!L29+'03'!L29+'04'!L29+'05'!L29+'06'!L29+'07'!L29+'08'!L29+'09'!L29+'10'!L29+'11'!L29+'12'!L29</f>
        <v>37500</v>
      </c>
      <c r="M29" s="144">
        <f>IF($G$4=0,0,('01'!M29+'13'!M29+'02'!M29+'03'!M29+'04'!M29+'05'!M29+'06'!M29+'07'!M29+'08'!M29+'09'!M29+'10'!M29+'11'!M29+'12'!M29)/$G$4)</f>
        <v>2.375</v>
      </c>
      <c r="N29" s="98">
        <v>9348947</v>
      </c>
      <c r="O29" s="99">
        <f t="shared" si="0"/>
        <v>0.5947385304462631</v>
      </c>
      <c r="P29" s="100">
        <f t="shared" si="1"/>
        <v>292641</v>
      </c>
    </row>
    <row r="30" spans="1:16" ht="12.75">
      <c r="A30" s="95" t="s">
        <v>40</v>
      </c>
      <c r="B30" s="96">
        <v>89</v>
      </c>
      <c r="C30" s="97">
        <f>'01'!C30+'13'!C30+'02'!C30+'03'!C30+'04'!C30+'05'!C30+'06'!C30+'07'!C30+'08'!C30+'09'!C30+'10'!C30+'11'!C30+'12'!C30</f>
        <v>9164171</v>
      </c>
      <c r="D30" s="97">
        <f>'01'!D30+'13'!D30+'02'!D30+'03'!D30+'04'!D30+'05'!D30+'06'!D30+'07'!J30+'08'!D30+'09'!D30+'10'!D30+'11'!D30+'12'!D30</f>
        <v>205434</v>
      </c>
      <c r="E30" s="97">
        <f>'01'!E30+'13'!E30+'02'!E30+'03'!E30+'04'!E30+'05'!E30+'06'!E30+'07'!E30+'08'!E30+'09'!E30+'10'!E30+'11'!E30+'12'!E30</f>
        <v>0</v>
      </c>
      <c r="F30" s="97">
        <f>'01'!F30+'13'!F30+'02'!F30+'03'!F30+'04'!F30+'05'!F30+'06'!F30+'07'!F30+'08'!F30+'09'!F30+'10'!F30+'11'!F30+'12'!F30</f>
        <v>0</v>
      </c>
      <c r="G30" s="97">
        <f>'01'!G30+'13'!G30+'02'!G30+'03'!G30+'04'!G30+'05'!G30+'06'!G30+'07'!G30+'08'!G30+'09'!G30+'10'!G30+'11'!G30+'12'!G30</f>
        <v>0</v>
      </c>
      <c r="H30" s="97">
        <f>'01'!H30+'13'!H30+'02'!H30+'03'!H30+'04'!H30+'05'!H30+'06'!H30+'07'!H30+'08'!H30+'09'!H30+'10'!H30+'11'!H30+'12'!H30</f>
        <v>0</v>
      </c>
      <c r="I30" s="97">
        <f>'01'!I30+'13'!I30+'02'!I30+'03'!I30+'04'!I30+'05'!I30+'06'!I30+'07'!I30+'08'!I30+'09'!I30+'10'!I30+'11'!I30+'12'!I30</f>
        <v>0</v>
      </c>
      <c r="J30" s="97">
        <f>'01'!J30+'13'!J30+'02'!J30+'03'!J30+'04'!J30+'05'!J30+'06'!J30+'07'!J30+'08'!J30+'09'!J30+'10'!J30+'11'!J30+'12'!J30</f>
        <v>865750</v>
      </c>
      <c r="K30" s="97">
        <f>'01'!K30+'13'!K30+'02'!K30+'03'!K30+'04'!K30+'05'!K30+'06'!K30+'07'!K30+'08'!K30+'09'!K30+'10'!K30+'11'!K30+'12'!K30</f>
        <v>10132638</v>
      </c>
      <c r="L30" s="97">
        <f>'01'!L30+'13'!L30+'02'!L30+'03'!L30+'04'!L30+'05'!L30+'06'!L30+'07'!L30+'08'!L30+'09'!L30+'10'!L30+'11'!L30+'12'!L30</f>
        <v>1259664</v>
      </c>
      <c r="M30" s="144">
        <f>IF($G$4=0,0,('01'!M30+'13'!M30+'02'!M30+'03'!M30+'04'!M30+'05'!M30+'06'!M30+'07'!M30+'08'!M30+'09'!M30+'10'!M30+'11'!M30+'12'!M30)/$G$4)</f>
        <v>4.125</v>
      </c>
      <c r="N30" s="98">
        <v>17037130</v>
      </c>
      <c r="O30" s="99">
        <f t="shared" si="0"/>
        <v>0.5947385504483443</v>
      </c>
      <c r="P30" s="100">
        <f t="shared" si="1"/>
        <v>307049.63636363635</v>
      </c>
    </row>
    <row r="31" spans="1:16" ht="12.75">
      <c r="A31" s="95" t="s">
        <v>41</v>
      </c>
      <c r="B31" s="96">
        <v>90</v>
      </c>
      <c r="C31" s="97">
        <f>'01'!C31+'13'!C31+'02'!C31+'03'!C31+'04'!C31+'05'!C31+'06'!C31+'07'!C31+'08'!C31+'09'!C31+'10'!C31+'11'!C31+'12'!C31</f>
        <v>0</v>
      </c>
      <c r="D31" s="97">
        <f>'01'!D31+'13'!D31+'02'!D31+'03'!D31+'04'!D31+'05'!D31+'06'!D31+'07'!D31+'08'!D31+'09'!D31+'10'!D31+'11'!D31+'12'!D31</f>
        <v>0</v>
      </c>
      <c r="E31" s="97">
        <f>'01'!E31+'13'!E31+'02'!E31+'03'!E31+'04'!E31+'05'!E31+'06'!E31+'07'!E31+'08'!E31+'09'!E31+'10'!E31+'11'!E31+'12'!E31</f>
        <v>0</v>
      </c>
      <c r="F31" s="97">
        <f>'01'!F31+'13'!F31+'02'!F31+'03'!F31+'04'!F31+'05'!F31+'06'!F31+'07'!F31+'08'!F31+'09'!F31+'10'!F31+'11'!F31+'12'!F31</f>
        <v>0</v>
      </c>
      <c r="G31" s="97">
        <f>'01'!G31+'13'!G31+'02'!G31+'03'!G31+'04'!G31+'05'!G31+'06'!G31+'07'!G31+'08'!G31+'09'!G31+'10'!G31+'11'!G31+'12'!G31</f>
        <v>0</v>
      </c>
      <c r="H31" s="97">
        <f>'01'!H31+'13'!H31+'02'!H31+'03'!H31+'04'!H31+'05'!H31+'06'!H31+'07'!H31+'08'!H31+'09'!H31+'10'!H31+'11'!H31+'12'!H31</f>
        <v>0</v>
      </c>
      <c r="I31" s="97">
        <f>'01'!I31+'13'!I31+'02'!I31+'03'!I31+'04'!I31+'05'!I31+'06'!I31+'07'!I31+'08'!I31+'09'!I31+'10'!I31+'11'!I31+'12'!I31</f>
        <v>0</v>
      </c>
      <c r="J31" s="97">
        <f>'01'!J31+'13'!J31+'02'!J31+'03'!J31+'04'!J31+'05'!J31+'06'!J31+'07'!J31+'08'!J31+'09'!J31+'10'!J31+'11'!J31+'12'!J31</f>
        <v>0</v>
      </c>
      <c r="K31" s="97">
        <f>'01'!K31+'13'!K31+'02'!K31+'03'!K31+'04'!K31+'05'!K31+'06'!K31+'07'!K31+'08'!K31+'09'!K31+'10'!K31+'11'!K31+'12'!K31</f>
        <v>0</v>
      </c>
      <c r="L31" s="97">
        <f>'01'!L31+'13'!L31+'02'!L31+'03'!L31+'04'!L31+'05'!L31+'06'!L31+'07'!L31+'08'!L31+'09'!L31+'10'!L31+'11'!L31+'12'!L31</f>
        <v>0</v>
      </c>
      <c r="M31" s="144">
        <f>IF($G$4=0,0,('01'!M31+'13'!M31+'02'!M31+'03'!M31+'04'!M31+'05'!M31+'06'!M31+'07'!M31+'08'!M31+'09'!M31+'10'!M31+'11'!M31+'12'!M31)/$G$4)</f>
        <v>0</v>
      </c>
      <c r="N31" s="98"/>
      <c r="O31" s="99">
        <f t="shared" si="0"/>
        <v>0</v>
      </c>
      <c r="P31" s="100">
        <f t="shared" si="1"/>
        <v>0</v>
      </c>
    </row>
    <row r="32" spans="1:16" s="103" customFormat="1" ht="12.75">
      <c r="A32" s="140" t="s">
        <v>73</v>
      </c>
      <c r="B32" s="141">
        <v>92</v>
      </c>
      <c r="C32" s="143">
        <f aca="true" t="shared" si="2" ref="C32:L32">SUM(C12:C31)</f>
        <v>73637960</v>
      </c>
      <c r="D32" s="143">
        <f t="shared" si="2"/>
        <v>1702388</v>
      </c>
      <c r="E32" s="143">
        <f t="shared" si="2"/>
        <v>0</v>
      </c>
      <c r="F32" s="143">
        <f t="shared" si="2"/>
        <v>238724</v>
      </c>
      <c r="G32" s="143">
        <f t="shared" si="2"/>
        <v>2824248</v>
      </c>
      <c r="H32" s="143">
        <f t="shared" si="2"/>
        <v>382440</v>
      </c>
      <c r="I32" s="143">
        <f t="shared" si="2"/>
        <v>0</v>
      </c>
      <c r="J32" s="143">
        <f t="shared" si="2"/>
        <v>5799640</v>
      </c>
      <c r="K32" s="143">
        <f t="shared" si="2"/>
        <v>83716125</v>
      </c>
      <c r="L32" s="143">
        <f t="shared" si="2"/>
        <v>3535640</v>
      </c>
      <c r="M32" s="145">
        <f>SUM(M12:M31)</f>
        <v>67.25</v>
      </c>
      <c r="N32" s="143">
        <f>SUM(N12:N31)</f>
        <v>140761222</v>
      </c>
      <c r="O32" s="99">
        <f t="shared" si="0"/>
        <v>0.5947385495133027</v>
      </c>
      <c r="P32" s="100">
        <f t="shared" si="1"/>
        <v>155606.18029739778</v>
      </c>
    </row>
    <row r="33" spans="1:16" ht="12.75">
      <c r="A33" s="104" t="s">
        <v>64</v>
      </c>
      <c r="B33" s="96">
        <v>104</v>
      </c>
      <c r="C33" s="97">
        <f>'01'!C33+'13'!C33+'02'!C33+'03'!C33+'04'!C33+'05'!C33+'06'!C33+'07'!C33+'08'!C33+'09'!C33+'10'!C33+'11'!C33+'12'!C33</f>
        <v>0</v>
      </c>
      <c r="D33" s="97">
        <f>'01'!D33+'13'!D33+'02'!D33+'03'!D33+'04'!D33+'05'!D33+'06'!D33+'07'!D33+'08'!D33+'09'!D33+'10'!D33+'11'!D33+'12'!D33</f>
        <v>0</v>
      </c>
      <c r="E33" s="97">
        <f>'01'!E33+'13'!E33+'02'!E33+'03'!E33+'04'!E33+'05'!E33+'06'!E33+'07'!E33+'08'!E33+'09'!E33+'10'!E33+'11'!E33+'12'!E33</f>
        <v>0</v>
      </c>
      <c r="F33" s="97">
        <f>'01'!F33+'13'!F33+'02'!F33+'03'!F33+'04'!F33+'05'!F33+'06'!F33+'07'!F33+'08'!F33+'09'!F33+'10'!F33+'11'!F33+'12'!F33</f>
        <v>0</v>
      </c>
      <c r="G33" s="97">
        <f>'01'!G33+'13'!G33+'02'!G33+'03'!G33+'04'!G33+'05'!G33+'06'!G33+'07'!G33+'08'!G33+'09'!G33+'10'!G33+'11'!G33+'12'!G33</f>
        <v>0</v>
      </c>
      <c r="H33" s="97">
        <f>'01'!H33+'13'!H33+'02'!H33+'03'!H33+'04'!H33+'05'!H33+'06'!H33+'07'!H33+'08'!H33+'09'!H33+'10'!H33+'11'!H33+'12'!H33</f>
        <v>0</v>
      </c>
      <c r="I33" s="97">
        <f>'01'!I33+'13'!I33+'02'!I33+'03'!I33+'04'!I33+'05'!I33+'06'!I33+'07'!I33+'08'!I33+'09'!I33+'10'!I33+'11'!I33+'12'!I33</f>
        <v>0</v>
      </c>
      <c r="J33" s="97">
        <f>'01'!J33+'13'!J33+'02'!J33+'03'!J33+'04'!J33+'05'!J33+'06'!J33+'07'!J33+'08'!J33+'09'!J33+'10'!J33+'11'!J33+'12'!J33</f>
        <v>0</v>
      </c>
      <c r="K33" s="97">
        <f>'01'!K33+'13'!K33+'02'!K33+'03'!K33+'04'!K33+'05'!K33+'06'!K33+'07'!K33+'08'!K33+'09'!K33+'10'!K33+'11'!K33+'12'!K33</f>
        <v>0</v>
      </c>
      <c r="L33" s="97">
        <f>'01'!L33+'13'!L33+'02'!L33+'03'!L33+'04'!L33+'05'!L33+'06'!L33+'07'!L33+'08'!L33+'09'!L33+'10'!L33+'11'!L33+'12'!L33</f>
        <v>0</v>
      </c>
      <c r="M33" s="144">
        <f>IF($G$4=0,0,('01'!M33+'13'!M33+'02'!M33+'03'!M33+'04'!M33+'05'!M33+'06'!M33+'07'!M33+'08'!M33+'09'!M33+'10'!M33+'11'!M33+'12'!M33)/$G$4)</f>
        <v>0</v>
      </c>
      <c r="N33" s="98"/>
      <c r="O33" s="99">
        <f t="shared" si="0"/>
        <v>0</v>
      </c>
      <c r="P33" s="100">
        <f t="shared" si="1"/>
        <v>0</v>
      </c>
    </row>
    <row r="34" spans="1:16" ht="12.75">
      <c r="A34" s="104" t="s">
        <v>65</v>
      </c>
      <c r="B34" s="96">
        <v>105</v>
      </c>
      <c r="C34" s="97">
        <f>'01'!C34+'13'!C34+'02'!C34+'03'!C34+'04'!C34+'05'!C34+'06'!C34+'07'!C34+'08'!C34+'09'!C34+'10'!C34+'11'!C34+'12'!C34</f>
        <v>0</v>
      </c>
      <c r="D34" s="97">
        <f>'01'!D34+'13'!D34+'02'!D34+'03'!D34+'04'!D34+'05'!D34+'06'!D34+'07'!D34+'08'!D34+'09'!D34+'10'!D34+'11'!D34+'12'!D34</f>
        <v>0</v>
      </c>
      <c r="E34" s="97">
        <f>'01'!E34+'13'!E34+'02'!E34+'03'!E34+'04'!E34+'05'!E34+'06'!E34+'07'!E34+'08'!E34+'09'!E34+'10'!E34+'11'!E34+'12'!E34</f>
        <v>0</v>
      </c>
      <c r="F34" s="97">
        <f>'01'!F34+'13'!F34+'02'!F34+'03'!F34+'04'!F34+'05'!F34+'06'!F34+'07'!F34+'08'!F34+'09'!F34+'10'!F34+'11'!F34+'12'!F34</f>
        <v>0</v>
      </c>
      <c r="G34" s="97">
        <f>'01'!G34+'13'!G34+'02'!G34+'03'!G34+'04'!G34+'05'!G34+'06'!G34+'07'!G34+'08'!G34+'09'!G34+'10'!G34+'11'!G34+'12'!G34</f>
        <v>0</v>
      </c>
      <c r="H34" s="97">
        <f>'01'!H34+'13'!H34+'02'!H34+'03'!H34+'04'!H34+'05'!H34+'06'!H34+'07'!H34+'08'!H34+'09'!H34+'10'!H34+'11'!H34+'12'!H34</f>
        <v>0</v>
      </c>
      <c r="I34" s="97">
        <f>'01'!I34+'13'!I34+'02'!I34+'03'!I34+'04'!I34+'05'!I34+'06'!I34+'07'!I34+'08'!I34+'09'!I34+'10'!I34+'11'!I34+'12'!I34</f>
        <v>0</v>
      </c>
      <c r="J34" s="97">
        <f>'01'!J34+'13'!J34+'02'!J34+'03'!J34+'04'!J34+'05'!J34+'06'!J34+'07'!J34+'08'!J34+'09'!J34+'10'!J34+'11'!J34+'12'!J34</f>
        <v>0</v>
      </c>
      <c r="K34" s="97">
        <f>'01'!K34+'13'!K34+'02'!K34+'03'!K34+'04'!K34+'05'!K34+'06'!K34+'07'!K34+'08'!K34+'09'!K34+'10'!K34+'11'!K34+'12'!K34</f>
        <v>0</v>
      </c>
      <c r="L34" s="97">
        <f>'01'!L34+'13'!L34+'02'!L34+'03'!L34+'04'!L34+'05'!L34+'06'!L34+'07'!L34+'08'!L34+'09'!L34+'10'!L34+'11'!L34+'12'!L34</f>
        <v>0</v>
      </c>
      <c r="M34" s="144">
        <f>IF($G$4=0,0,('01'!M34+'13'!M34+'02'!M34+'03'!M34+'04'!M34+'05'!M34+'06'!M34+'07'!M34+'08'!M34+'09'!M34+'10'!M34+'11'!M34+'12'!M34)/$G$4)</f>
        <v>0</v>
      </c>
      <c r="N34" s="98"/>
      <c r="O34" s="99">
        <f t="shared" si="0"/>
        <v>0</v>
      </c>
      <c r="P34" s="100">
        <f t="shared" si="1"/>
        <v>0</v>
      </c>
    </row>
    <row r="35" spans="1:16" s="103" customFormat="1" ht="12.75">
      <c r="A35" s="104" t="s">
        <v>66</v>
      </c>
      <c r="B35" s="96">
        <v>106</v>
      </c>
      <c r="C35" s="97">
        <f>'01'!C35+'13'!C35+'02'!C35+'03'!C35+'04'!C35+'05'!C35+'06'!C35+'07'!C35+'08'!C35+'09'!C35+'10'!C35+'11'!C35+'12'!C35</f>
        <v>0</v>
      </c>
      <c r="D35" s="97">
        <f>'01'!D35+'13'!D35+'02'!D35+'03'!D35+'04'!D35+'05'!D35+'06'!D35+'07'!D35+'08'!D35+'09'!D35+'10'!D35+'11'!D35+'12'!D35</f>
        <v>0</v>
      </c>
      <c r="E35" s="97">
        <f>'01'!E35+'13'!E35+'02'!E35+'03'!E35+'04'!E35+'05'!E35+'06'!E35+'07'!E35+'08'!E35+'09'!E35+'10'!E35+'11'!E35+'12'!E35</f>
        <v>0</v>
      </c>
      <c r="F35" s="97">
        <f>'01'!F35+'13'!F35+'02'!F35+'03'!F35+'04'!F35+'05'!F35+'06'!F35+'07'!F35+'08'!F35+'09'!F35+'10'!F35+'11'!F35+'12'!F35</f>
        <v>0</v>
      </c>
      <c r="G35" s="97">
        <f>'01'!G35+'13'!G35+'02'!G35+'03'!G35+'04'!G35+'05'!G35+'06'!G35+'07'!G35+'08'!G35+'09'!G35+'10'!G35+'11'!G35+'12'!G35</f>
        <v>0</v>
      </c>
      <c r="H35" s="97">
        <f>'01'!H35+'13'!H35+'02'!H35+'03'!H35+'04'!H35+'05'!H35+'06'!H35+'07'!H35+'08'!H35+'09'!H35+'10'!H35+'11'!H35+'12'!H35</f>
        <v>0</v>
      </c>
      <c r="I35" s="97">
        <f>'01'!I35+'13'!I35+'02'!I35+'03'!I35+'04'!I35+'05'!I35+'06'!I35+'07'!I35+'08'!I35+'09'!I35+'10'!I35+'11'!I35+'12'!I35</f>
        <v>0</v>
      </c>
      <c r="J35" s="97">
        <f>'01'!J35+'13'!J35+'02'!J35+'03'!J35+'04'!J35+'05'!J35+'06'!J35+'07'!J35+'08'!J35+'09'!J35+'10'!J35+'11'!J35+'12'!J35</f>
        <v>0</v>
      </c>
      <c r="K35" s="97">
        <f>'01'!K35+'13'!K35+'02'!K35+'03'!K35+'04'!K35+'05'!K35+'06'!K35+'07'!K35+'08'!K35+'09'!K35+'10'!K35+'11'!K35+'12'!K35</f>
        <v>0</v>
      </c>
      <c r="L35" s="97">
        <f>'01'!L35+'13'!L35+'02'!L35+'03'!L35+'04'!L35+'05'!L35+'06'!L35+'07'!L35+'08'!L35+'09'!L35+'10'!L35+'11'!L35+'12'!L35</f>
        <v>0</v>
      </c>
      <c r="M35" s="144">
        <f>IF($G$4=0,0,('01'!M35+'13'!M35+'02'!M35+'03'!M35+'04'!M35+'05'!M35+'06'!M35+'07'!M35+'08'!M35+'09'!M35+'10'!M35+'11'!M35+'12'!M35)/$G$4)</f>
        <v>0</v>
      </c>
      <c r="N35" s="98"/>
      <c r="O35" s="99">
        <f t="shared" si="0"/>
        <v>0</v>
      </c>
      <c r="P35" s="100">
        <f t="shared" si="1"/>
        <v>0</v>
      </c>
    </row>
    <row r="36" spans="1:16" s="103" customFormat="1" ht="12.75">
      <c r="A36" s="104" t="s">
        <v>67</v>
      </c>
      <c r="B36" s="96">
        <v>107</v>
      </c>
      <c r="C36" s="97">
        <f>'01'!C36+'13'!C36+'02'!C36+'03'!C36+'04'!C36+'05'!C36+'06'!C36+'07'!C36+'08'!C36+'09'!C36+'10'!C36+'11'!C36+'12'!C36</f>
        <v>0</v>
      </c>
      <c r="D36" s="97">
        <f>'01'!D36+'13'!D36+'02'!D36+'03'!D36+'04'!D36+'05'!D36+'06'!D36+'07'!D36+'08'!D36+'09'!D36+'10'!D36+'11'!D36+'12'!D36</f>
        <v>0</v>
      </c>
      <c r="E36" s="97">
        <f>'01'!E36+'13'!E36+'02'!E36+'03'!E36+'04'!E36+'05'!E36+'06'!E36+'07'!E36+'08'!E36+'09'!E36+'10'!E36+'11'!E36+'12'!E36</f>
        <v>0</v>
      </c>
      <c r="F36" s="97">
        <f>'01'!F36+'13'!F36+'02'!F36+'03'!F36+'04'!F36+'05'!F36+'06'!F36+'07'!F36+'08'!F36+'09'!F36+'10'!F36+'11'!F36+'12'!F36</f>
        <v>0</v>
      </c>
      <c r="G36" s="97">
        <f>'01'!G36+'13'!G36+'02'!G36+'03'!G36+'04'!G36+'05'!G36+'06'!G36+'07'!G36+'08'!G36+'09'!G36+'10'!G36+'11'!G36+'12'!G36</f>
        <v>0</v>
      </c>
      <c r="H36" s="97">
        <f>'01'!H36+'13'!H36+'02'!H36+'03'!H36+'04'!H36+'05'!H36+'06'!H36+'07'!H36+'08'!H36+'09'!H36+'10'!H36+'11'!H36+'12'!H36</f>
        <v>0</v>
      </c>
      <c r="I36" s="97">
        <f>'01'!I36+'13'!I36+'02'!I36+'03'!I36+'04'!I36+'05'!I36+'06'!I36+'07'!I36+'08'!I36+'09'!I36+'10'!I36+'11'!I36+'12'!I36</f>
        <v>0</v>
      </c>
      <c r="J36" s="97">
        <f>'01'!J36+'13'!J36+'02'!J36+'03'!J36+'04'!J36+'05'!J36+'06'!J36+'07'!J36+'08'!J36+'09'!J36+'10'!J36+'11'!J36+'12'!J36</f>
        <v>0</v>
      </c>
      <c r="K36" s="97">
        <f>'01'!K36+'13'!K36+'02'!K36+'03'!K36+'04'!K36+'05'!K36+'06'!K36+'07'!K36+'08'!K36+'09'!K36+'10'!K36+'11'!K36+'12'!K36</f>
        <v>0</v>
      </c>
      <c r="L36" s="97">
        <f>'01'!L36+'13'!L36+'02'!L36+'03'!L36+'04'!L36+'05'!L36+'06'!L36+'07'!L36+'08'!L36+'09'!L36+'10'!L36+'11'!L36+'12'!L36</f>
        <v>0</v>
      </c>
      <c r="M36" s="144">
        <f>IF($G$4=0,0,('01'!M36+'13'!M36+'02'!M36+'03'!M36+'04'!M36+'05'!M36+'06'!M36+'07'!M36+'08'!M36+'09'!M36+'10'!M36+'11'!M36+'12'!M36)/$G$4)</f>
        <v>0</v>
      </c>
      <c r="N36" s="98"/>
      <c r="O36" s="99">
        <f t="shared" si="0"/>
        <v>0</v>
      </c>
      <c r="P36" s="100">
        <f t="shared" si="1"/>
        <v>0</v>
      </c>
    </row>
    <row r="37" spans="1:16" s="103" customFormat="1" ht="12.75">
      <c r="A37" s="104" t="s">
        <v>68</v>
      </c>
      <c r="B37" s="96">
        <v>108</v>
      </c>
      <c r="C37" s="97">
        <f>'01'!C37+'13'!C37+'02'!C37+'03'!C37+'04'!C37+'05'!C37+'06'!C37+'07'!C37+'08'!C37+'09'!C37+'10'!C37+'11'!C37+'12'!C37</f>
        <v>0</v>
      </c>
      <c r="D37" s="97">
        <f>'01'!D37+'13'!D37+'02'!D37+'03'!D37+'04'!D37+'05'!D37+'06'!D37+'07'!D37+'08'!D37+'09'!D37+'10'!D37+'11'!D37+'12'!D37</f>
        <v>0</v>
      </c>
      <c r="E37" s="97">
        <f>'01'!E37+'13'!E37+'02'!E37+'03'!E37+'04'!E37+'05'!E37+'06'!E37+'07'!E37+'08'!E37+'09'!E37+'10'!E37+'11'!E37+'12'!E37</f>
        <v>0</v>
      </c>
      <c r="F37" s="97">
        <f>'01'!F37+'13'!F37+'02'!F37+'03'!F37+'04'!F37+'05'!F37+'06'!F37+'07'!F37+'08'!F37+'09'!F37+'10'!F37+'11'!F37+'12'!F37</f>
        <v>0</v>
      </c>
      <c r="G37" s="97">
        <f>'01'!G37+'13'!G37+'02'!G37+'03'!G37+'04'!G37+'05'!G37+'06'!G37+'07'!G37+'08'!G37+'09'!G37+'10'!G37+'11'!G37+'12'!G37</f>
        <v>0</v>
      </c>
      <c r="H37" s="97">
        <f>'01'!H37+'13'!H37+'02'!H37+'03'!H37+'04'!H37+'05'!H37+'06'!H37+'07'!H37+'08'!H37+'09'!H37+'10'!H37+'11'!H37+'12'!H37</f>
        <v>0</v>
      </c>
      <c r="I37" s="97">
        <f>'01'!I37+'13'!I37+'02'!I37+'03'!I37+'04'!I37+'05'!I37+'06'!I37+'07'!I37+'08'!I37+'09'!I37+'10'!I37+'11'!I37+'12'!I37</f>
        <v>0</v>
      </c>
      <c r="J37" s="97">
        <f>'01'!J37+'13'!J37+'02'!J37+'03'!J37+'04'!J37+'05'!J37+'06'!J37+'07'!J37+'08'!J37+'09'!J37+'10'!J37+'11'!J37+'12'!J37</f>
        <v>0</v>
      </c>
      <c r="K37" s="97">
        <f>'01'!K37+'13'!K37+'02'!K37+'03'!K37+'04'!K37+'05'!K37+'06'!K37+'07'!K37+'08'!K37+'09'!K37+'10'!K37+'11'!K37+'12'!K37</f>
        <v>0</v>
      </c>
      <c r="L37" s="97">
        <f>'01'!L37+'13'!L37+'02'!L37+'03'!L37+'04'!L37+'05'!L37+'06'!L37+'07'!L37+'08'!L37+'09'!L37+'10'!L37+'11'!L37+'12'!L37</f>
        <v>0</v>
      </c>
      <c r="M37" s="144">
        <f>IF($G$4=0,0,('01'!M37+'13'!M37+'02'!M37+'03'!M37+'04'!M37+'05'!M37+'06'!M37+'07'!M37+'08'!M37+'09'!M37+'10'!M37+'11'!M37+'12'!M37)/$G$4)</f>
        <v>0</v>
      </c>
      <c r="N37" s="98"/>
      <c r="O37" s="99">
        <f t="shared" si="0"/>
        <v>0</v>
      </c>
      <c r="P37" s="100">
        <f t="shared" si="1"/>
        <v>0</v>
      </c>
    </row>
    <row r="38" spans="1:16" s="105" customFormat="1" ht="12.75">
      <c r="A38" s="104" t="s">
        <v>69</v>
      </c>
      <c r="B38" s="96">
        <v>109</v>
      </c>
      <c r="C38" s="97">
        <f>'01'!C38+'13'!C38+'02'!C38+'03'!C38+'04'!C38+'05'!C38+'06'!C38+'07'!C38+'08'!C38+'09'!C38+'10'!C38+'11'!C38+'12'!C38</f>
        <v>0</v>
      </c>
      <c r="D38" s="97">
        <f>'01'!D38+'13'!D38+'02'!D38+'03'!D38+'04'!D38+'05'!D38+'06'!D38+'07'!D38+'08'!D38+'09'!D38+'10'!D38+'11'!D38+'12'!D38</f>
        <v>0</v>
      </c>
      <c r="E38" s="97">
        <f>'01'!E38+'13'!E38+'02'!E38+'03'!E38+'04'!E38+'05'!E38+'06'!E38+'07'!E38+'08'!E38+'09'!E38+'10'!E38+'11'!E38+'12'!E38</f>
        <v>0</v>
      </c>
      <c r="F38" s="97">
        <f>'01'!F38+'13'!F38+'02'!F38+'03'!F38+'04'!F38+'05'!F38+'06'!F38+'07'!F38+'08'!F38+'09'!F38+'10'!F38+'11'!F38+'12'!F38</f>
        <v>0</v>
      </c>
      <c r="G38" s="97">
        <f>'01'!G38+'13'!G38+'02'!G38+'03'!G38+'04'!G38+'05'!G38+'06'!G38+'07'!G38+'08'!G38+'09'!G38+'10'!G38+'11'!G38+'12'!G38</f>
        <v>0</v>
      </c>
      <c r="H38" s="97">
        <f>'01'!H38+'13'!H38+'02'!H38+'03'!H38+'04'!H38+'05'!H38+'06'!H38+'07'!H38+'08'!H38+'09'!H38+'10'!H38+'11'!H38+'12'!H38</f>
        <v>0</v>
      </c>
      <c r="I38" s="97">
        <f>'01'!I38+'13'!I38+'02'!I38+'03'!I38+'04'!I38+'05'!I38+'06'!I38+'07'!I38+'08'!I38+'09'!I38+'10'!I38+'11'!I38+'12'!I38</f>
        <v>0</v>
      </c>
      <c r="J38" s="97">
        <f>'01'!J38+'13'!J38+'02'!J38+'03'!J38+'04'!J38+'05'!J38+'06'!J38+'07'!J38+'08'!J38+'09'!J38+'10'!J38+'11'!J38+'12'!J38</f>
        <v>0</v>
      </c>
      <c r="K38" s="97">
        <f>'01'!K38+'13'!K38+'02'!K38+'03'!K38+'04'!K38+'05'!K38+'06'!K38+'07'!K38+'08'!K38+'09'!K38+'10'!K38+'11'!K38+'12'!K38</f>
        <v>0</v>
      </c>
      <c r="L38" s="97">
        <f>'01'!L38+'13'!L38+'02'!L38+'03'!L38+'04'!L38+'05'!L38+'06'!L38+'07'!L38+'08'!L38+'09'!L38+'10'!L38+'11'!L38+'12'!L38</f>
        <v>0</v>
      </c>
      <c r="M38" s="144">
        <f>IF($G$4=0,0,('01'!M38+'13'!M38+'02'!M38+'03'!M38+'04'!M38+'05'!M38+'06'!M38+'07'!M38+'08'!M38+'09'!M38+'10'!M38+'11'!M38+'12'!M38)/$G$4)</f>
        <v>0</v>
      </c>
      <c r="N38" s="98"/>
      <c r="O38" s="99">
        <f t="shared" si="0"/>
        <v>0</v>
      </c>
      <c r="P38" s="100">
        <f t="shared" si="1"/>
        <v>0</v>
      </c>
    </row>
    <row r="39" spans="1:16" ht="12.75">
      <c r="A39" s="140" t="s">
        <v>72</v>
      </c>
      <c r="B39" s="141">
        <v>110</v>
      </c>
      <c r="C39" s="143">
        <f aca="true" t="shared" si="3" ref="C39:L39">SUM(C33:C38)</f>
        <v>0</v>
      </c>
      <c r="D39" s="143">
        <f t="shared" si="3"/>
        <v>0</v>
      </c>
      <c r="E39" s="143">
        <f t="shared" si="3"/>
        <v>0</v>
      </c>
      <c r="F39" s="143">
        <f t="shared" si="3"/>
        <v>0</v>
      </c>
      <c r="G39" s="143">
        <f t="shared" si="3"/>
        <v>0</v>
      </c>
      <c r="H39" s="143">
        <f t="shared" si="3"/>
        <v>0</v>
      </c>
      <c r="I39" s="143">
        <f t="shared" si="3"/>
        <v>0</v>
      </c>
      <c r="J39" s="143">
        <f t="shared" si="3"/>
        <v>0</v>
      </c>
      <c r="K39" s="143">
        <f t="shared" si="3"/>
        <v>0</v>
      </c>
      <c r="L39" s="143">
        <f t="shared" si="3"/>
        <v>0</v>
      </c>
      <c r="M39" s="145">
        <f>SUM(M33:M38)</f>
        <v>0</v>
      </c>
      <c r="N39" s="143">
        <f>SUM(N33:N38)</f>
        <v>0</v>
      </c>
      <c r="O39" s="99">
        <f t="shared" si="0"/>
        <v>0</v>
      </c>
      <c r="P39" s="100">
        <f t="shared" si="1"/>
        <v>0</v>
      </c>
    </row>
    <row r="40" spans="1:16" ht="12.75">
      <c r="A40" s="106" t="s">
        <v>57</v>
      </c>
      <c r="B40" s="96">
        <v>111</v>
      </c>
      <c r="C40" s="97">
        <f>'01'!C40+'13'!C40+'02'!C40+'03'!C40+'04'!C40+'05'!C40+'06'!C40+'07'!C40+'08'!C40+'09'!C40+'10'!C40+'11'!C40+'12'!C40</f>
        <v>0</v>
      </c>
      <c r="D40" s="97">
        <f>'01'!D40+'13'!D40+'02'!D40+'03'!D40+'04'!D40+'05'!D40+'06'!D40+'07'!D40+'08'!D40+'09'!D40+'10'!D40+'11'!D40+'12'!D40</f>
        <v>0</v>
      </c>
      <c r="E40" s="97">
        <f>'01'!E40+'13'!E40+'02'!E40+'03'!E40+'04'!E40+'05'!E40+'06'!E40+'07'!E40+'08'!E40+'09'!E40+'10'!E40+'11'!E40+'12'!E40</f>
        <v>0</v>
      </c>
      <c r="F40" s="97">
        <f>'01'!F40+'13'!F40+'02'!F40+'03'!F40+'04'!F40+'05'!F40+'06'!F40+'07'!F40+'08'!F40+'09'!F40+'10'!F40+'11'!F40+'12'!F40</f>
        <v>0</v>
      </c>
      <c r="G40" s="97">
        <f>'01'!G40+'13'!G40+'02'!G40+'03'!G40+'04'!G40+'05'!G40+'06'!G40+'07'!G40+'08'!G40+'09'!G40+'10'!G40+'11'!G40+'12'!G40</f>
        <v>0</v>
      </c>
      <c r="H40" s="97">
        <f>'01'!H40+'13'!H40+'02'!H40+'03'!H40+'04'!H40+'05'!H40+'06'!H40+'07'!H40+'08'!H40+'09'!H40+'10'!H40+'11'!H40+'12'!H40</f>
        <v>0</v>
      </c>
      <c r="I40" s="97">
        <f>'01'!I40+'13'!I40+'02'!I40+'03'!I40+'04'!I40+'05'!I40+'06'!I40+'07'!I40+'08'!I40+'09'!I40+'10'!I40+'11'!I40+'12'!I40</f>
        <v>0</v>
      </c>
      <c r="J40" s="97">
        <f>'01'!J40+'13'!J40+'02'!J40+'03'!J40+'04'!J40+'05'!J40+'06'!J40+'07'!J40+'08'!J40+'09'!J40+'10'!J40+'11'!J40+'12'!J40</f>
        <v>0</v>
      </c>
      <c r="K40" s="97">
        <f>'01'!K40+'13'!K40+'02'!K40+'03'!K40+'04'!K40+'05'!K40+'06'!K40+'07'!K40+'08'!K40+'09'!K40+'10'!K40+'11'!K40+'12'!K40</f>
        <v>0</v>
      </c>
      <c r="L40" s="97">
        <f>'01'!L40+'13'!L40+'02'!L40+'03'!L40+'04'!L40+'05'!L40+'06'!L40+'07'!L40+'08'!L40+'09'!L40+'10'!L40+'11'!L40+'12'!L40</f>
        <v>0</v>
      </c>
      <c r="M40" s="144">
        <f>IF($G$4=0,0,('01'!M40+'13'!M40+'02'!M40+'03'!M40+'04'!M40+'05'!M40+'06'!M40+'07'!M40+'08'!M40+'09'!M40+'10'!M40+'11'!M40+'12'!M40)/$G$4)</f>
        <v>0</v>
      </c>
      <c r="N40" s="98"/>
      <c r="O40" s="99">
        <f t="shared" si="0"/>
        <v>0</v>
      </c>
      <c r="P40" s="100">
        <f t="shared" si="1"/>
        <v>0</v>
      </c>
    </row>
    <row r="41" spans="1:16" ht="12.75">
      <c r="A41" s="106" t="s">
        <v>58</v>
      </c>
      <c r="B41" s="96">
        <v>112</v>
      </c>
      <c r="C41" s="97">
        <f>'01'!C41+'13'!C41+'02'!C41+'03'!C41+'04'!C41+'05'!C41+'06'!C41+'07'!C41+'08'!C41+'09'!C41+'10'!C41+'11'!C41+'12'!C41</f>
        <v>0</v>
      </c>
      <c r="D41" s="97">
        <f>'01'!D41+'13'!D41+'02'!D41+'03'!D41+'04'!D41+'05'!D41+'06'!D41+'07'!D41+'08'!D41+'09'!D41+'10'!D41+'11'!D41+'12'!D41</f>
        <v>0</v>
      </c>
      <c r="E41" s="97">
        <f>'01'!E41+'13'!E41+'02'!E41+'03'!E41+'04'!E41+'05'!E41+'06'!E41+'07'!E41+'08'!E41+'09'!E41+'10'!E41+'11'!E41+'12'!E41</f>
        <v>0</v>
      </c>
      <c r="F41" s="97">
        <f>'01'!F41+'13'!F41+'02'!F41+'03'!F41+'04'!F41+'05'!F41+'06'!F41+'07'!F41+'08'!F41+'09'!F41+'10'!F41+'11'!F41+'12'!F41</f>
        <v>0</v>
      </c>
      <c r="G41" s="97">
        <f>'01'!G41+'13'!G41+'02'!G41+'03'!G41+'04'!G41+'05'!G41+'06'!G41+'07'!G41+'08'!G41+'09'!G41+'10'!G41+'11'!G41+'12'!G41</f>
        <v>0</v>
      </c>
      <c r="H41" s="97">
        <f>'01'!H41+'13'!H41+'02'!H41+'03'!H41+'04'!H41+'05'!H41+'06'!H41+'07'!H41+'08'!H41+'09'!H41+'10'!H41+'11'!H41+'12'!H41</f>
        <v>0</v>
      </c>
      <c r="I41" s="97">
        <f>'01'!I41+'13'!I41+'02'!I41+'03'!I41+'04'!I41+'05'!I41+'06'!I41+'07'!I41+'08'!I41+'09'!I41+'10'!I41+'11'!I41+'12'!I41</f>
        <v>0</v>
      </c>
      <c r="J41" s="97">
        <f>'01'!J41+'13'!J41+'02'!J41+'03'!J41+'04'!J41+'05'!J41+'06'!J41+'07'!J41+'08'!J41+'09'!J41+'10'!J41+'11'!J41+'12'!J41</f>
        <v>0</v>
      </c>
      <c r="K41" s="97">
        <f>'01'!K41+'13'!K41+'02'!K41+'03'!K41+'04'!K41+'05'!K41+'06'!K41+'07'!K41+'08'!K41+'09'!K41+'10'!K41+'11'!K41+'12'!K41</f>
        <v>0</v>
      </c>
      <c r="L41" s="97">
        <f>'01'!L41+'13'!L41+'02'!L41+'03'!L41+'04'!L41+'05'!L41+'06'!L41+'07'!L41+'08'!L41+'09'!L41+'10'!L41+'11'!L41+'12'!L41</f>
        <v>0</v>
      </c>
      <c r="M41" s="144">
        <f>IF($G$4=0,0,('01'!M41+'13'!M41+'02'!M41+'03'!M41+'04'!M41+'05'!M41+'06'!M41+'07'!M41+'08'!M41+'09'!M41+'10'!M41+'11'!M41+'12'!M41)/$G$4)</f>
        <v>0</v>
      </c>
      <c r="N41" s="98"/>
      <c r="O41" s="99">
        <f t="shared" si="0"/>
        <v>0</v>
      </c>
      <c r="P41" s="100">
        <f t="shared" si="1"/>
        <v>0</v>
      </c>
    </row>
    <row r="42" spans="1:16" ht="12.75">
      <c r="A42" s="106" t="s">
        <v>59</v>
      </c>
      <c r="B42" s="96">
        <v>113</v>
      </c>
      <c r="C42" s="97">
        <f>'01'!C42+'13'!C42+'02'!C42+'03'!C42+'04'!C42+'05'!C42+'06'!C42+'07'!C42+'08'!C42+'09'!C42+'10'!C42+'11'!C42+'12'!C42</f>
        <v>2531966</v>
      </c>
      <c r="D42" s="97">
        <f>'01'!D42+'13'!D42+'02'!D42+'03'!D42+'04'!D42+'05'!D42+'06'!D42+'07'!D42+'08'!D42+'09'!D42+'10'!D42+'11'!D42+'12'!D42</f>
        <v>266379</v>
      </c>
      <c r="E42" s="97">
        <f>'01'!E42+'13'!E42+'02'!E42+'03'!E42+'04'!E42+'05'!E42+'06'!E42+'07'!E42+'08'!E42+'09'!E42+'10'!E42+'11'!E42+'12'!E42</f>
        <v>606502</v>
      </c>
      <c r="F42" s="97">
        <f>'01'!F42+'13'!F42+'02'!F42+'03'!F42+'04'!F42+'05'!F42+'06'!F42+'07'!F42+'08'!F42+'09'!F42+'10'!F42+'11'!F42+'12'!F42</f>
        <v>181100</v>
      </c>
      <c r="G42" s="97">
        <f>'01'!G42+'13'!G42+'02'!G42+'03'!G42+'04'!G42+'05'!G42+'06'!G42+'07'!G42+'08'!G42+'09'!G42+'10'!G42+'11'!G42+'12'!G42</f>
        <v>746279</v>
      </c>
      <c r="H42" s="97">
        <f>'01'!H42+'13'!H42+'02'!H42+'03'!H42+'04'!H42+'05'!H42+'06'!H42+'07'!H42+'08'!H42+'09'!H42+'10'!H42+'11'!H42+'12'!H42</f>
        <v>119815</v>
      </c>
      <c r="I42" s="97">
        <f>'01'!I42+'13'!I42+'02'!I42+'03'!I42+'04'!I42+'05'!I42+'06'!I42+'07'!I42+'08'!I42+'09'!I42+'10'!I42+'11'!I42+'12'!I42</f>
        <v>0</v>
      </c>
      <c r="J42" s="97">
        <f>'01'!J42+'13'!C42+'02'!J42+'03'!J42+'04'!J42+'05'!J42+'06'!J42+'07'!J42+'08'!J42+'09'!J42+'10'!J42+'11'!J42+'12'!J42</f>
        <v>663222</v>
      </c>
      <c r="K42" s="97">
        <f>'01'!K42+'13'!K42+'02'!K42+'03'!K42+'04'!K42+'05'!K42+'06'!K42+'07'!K42+'08'!K42+'09'!K42+'10'!K42+'11'!K42+'12'!K42</f>
        <v>4791777</v>
      </c>
      <c r="L42" s="97">
        <f>'01'!L42+'13'!L42+'02'!L42+'03'!L42+'04'!L42+'05'!L42+'06'!L42+'07'!L42+'08'!L42+'09'!L42+'10'!L42+'11'!L42+'12'!L42</f>
        <v>511625</v>
      </c>
      <c r="M42" s="144">
        <f>IF($G$4=0,0,('01'!M42+'13'!M42+'02'!M42+'03'!M42+'04'!M42+'05'!M42+'06'!M42+'07'!M42+'08'!M42+'09'!M42+'10'!M42+'11'!M42+'12'!M42)/$G$4)</f>
        <v>1</v>
      </c>
      <c r="N42" s="98">
        <v>8056947</v>
      </c>
      <c r="O42" s="99">
        <f t="shared" si="0"/>
        <v>0.5947385529531223</v>
      </c>
      <c r="P42" s="100">
        <f t="shared" si="1"/>
        <v>598972.125</v>
      </c>
    </row>
    <row r="43" spans="1:16" ht="12.75">
      <c r="A43" s="106" t="s">
        <v>60</v>
      </c>
      <c r="B43" s="96">
        <v>114</v>
      </c>
      <c r="C43" s="97">
        <f>'01'!C43+'13'!C43+'02'!C43+'03'!C43+'04'!C43+'05'!C43+'06'!C43+'07'!C43+'08'!C43+'09'!C43+'10'!C43+'11'!C43+'12'!C43</f>
        <v>8974748</v>
      </c>
      <c r="D43" s="97">
        <f>'01'!D43+'13'!D43+'02'!D43+'03'!D43+'04'!D43+'05'!D43+'06'!D43+'07'!D43+'08'!D43+'09'!D43+'10'!D43+'11'!D43+'12'!D43</f>
        <v>822501</v>
      </c>
      <c r="E43" s="97">
        <f>'01'!E43+'13'!E43+'02'!E43+'03'!E43+'04'!E43+'05'!E43+'06'!E43+'07'!E43+'08'!E43+'09'!E43+'10'!E43+'11'!E43+'12'!E43</f>
        <v>2181774</v>
      </c>
      <c r="F43" s="97">
        <f>'01'!F43+'13'!F43+'02'!F43+'03'!F43+'04'!F43+'05'!F43+'06'!F43+'07'!F43+'08'!F43+'09'!F43+'10'!F43+'11'!F43+'12'!F43</f>
        <v>658422</v>
      </c>
      <c r="G43" s="97">
        <f>'01'!G43+'13'!G43+'02'!G43+'03'!G43+'04'!G43+'05'!G43+'06'!G43+'07'!G43+'08'!G43+'09'!G43+'10'!G43+'11'!G43+'12'!G43</f>
        <v>1555317</v>
      </c>
      <c r="H43" s="97">
        <f>'01'!H43+'13'!H43+'02'!H43+'03'!H43+'04'!H43+'05'!H43+'06'!H43+'07'!H43+'08'!H43+'09'!H43+'10'!H43+'11'!H43+'12'!H43</f>
        <v>248519</v>
      </c>
      <c r="I43" s="97">
        <f>'01'!I43+'13'!I43+'02'!I43+'03'!I43+'04'!I43+'05'!I43+'06'!I43+'07'!I43+'08'!I43+'09'!I43+'10'!I43+'11'!I43+'12'!I43</f>
        <v>0</v>
      </c>
      <c r="J43" s="97">
        <f>'01'!J43+'13'!C43+'02'!J43+'03'!J43+'04'!J43+'05'!J43+'06'!J43+'07'!J43+'08'!J43+'09'!J43+'10'!J43+'11'!J43+'12'!J43</f>
        <v>2025720</v>
      </c>
      <c r="K43" s="97">
        <f>'01'!K43+'13'!K43+'02'!K43+'03'!K43+'04'!K43+'05'!K43+'06'!K43+'07'!K43+'08'!K43+'09'!K43+'10'!K43+'11'!K43+'12'!K43</f>
        <v>15553253</v>
      </c>
      <c r="L43" s="97">
        <f>'01'!L43+'13'!L43+'02'!L43+'03'!L43+'04'!L43+'05'!L43+'06'!L43+'07'!L43+'08'!L43+'09'!L43+'10'!L43+'11'!L43+'12'!L43</f>
        <v>955351</v>
      </c>
      <c r="M43" s="144">
        <f>IF($G$4=0,0,('01'!M43+'13'!M43+'02'!M43+'03'!M43+'04'!M43+'05'!M43+'06'!M43+'07'!M43+'08'!M43+'09'!M43+'10'!M43+'11'!M43+'12'!M43)/$G$4)</f>
        <v>4</v>
      </c>
      <c r="N43" s="98">
        <v>26151412</v>
      </c>
      <c r="O43" s="99">
        <f t="shared" si="0"/>
        <v>0.5947385556083932</v>
      </c>
      <c r="P43" s="100">
        <f t="shared" si="1"/>
        <v>486039.15625</v>
      </c>
    </row>
    <row r="44" spans="1:16" ht="12.75">
      <c r="A44" s="106" t="s">
        <v>61</v>
      </c>
      <c r="B44" s="96">
        <v>115</v>
      </c>
      <c r="C44" s="97">
        <f>'01'!C44+'13'!C44+'02'!C44+'03'!C44+'04'!C44+'05'!C44+'06'!C44+'07'!C44+'08'!C44+'09'!C44+'10'!C44+'11'!C44+'12'!C44</f>
        <v>36217705</v>
      </c>
      <c r="D44" s="97">
        <f>'01'!D44+'13'!D44+'02'!D44+'03'!D44+'04'!D44+'05'!D44+'06'!D44+'07'!D44+'08'!D44+'09'!D44+'10'!D44+'11'!D44+'12'!D44</f>
        <v>3360770</v>
      </c>
      <c r="E44" s="97">
        <f>'01'!E44+'13'!E44+'02'!E44+'03'!E44+'04'!E44+'05'!E44+'06'!E44+'07'!E44+'08'!E44+'09'!E44+'10'!E44+'11'!E44+'12'!E44</f>
        <v>8643255</v>
      </c>
      <c r="F44" s="97">
        <f>'01'!F44+'13'!F44+'02'!F44+'03'!F44+'04'!F44+'05'!F44+'06'!F44+'07'!F44+'08'!F44+'09'!F44+'10'!F44+'11'!F44+'12'!F44</f>
        <v>2720913</v>
      </c>
      <c r="G44" s="97">
        <f>'01'!G44+'13'!G44+'02'!G44+'03'!G44+'04'!G44+'05'!G44+'06'!G44+'07'!G44+'08'!G44+'09'!G44+'10'!G44+'11'!G44+'12'!G44</f>
        <v>3374071</v>
      </c>
      <c r="H44" s="97">
        <f>'01'!H44+'13'!H44+'02'!H44+'03'!H44+'04'!H44+'05'!H44+'06'!H44+'07'!H44+'08'!H44+'09'!H44+'10'!H44+'11'!H44+'12'!H44</f>
        <v>538111</v>
      </c>
      <c r="I44" s="97">
        <f>'01'!I44+'13'!I44+'02'!I44+'03'!I44+'04'!I44+'05'!I44+'06'!I44+'07'!I44+'08'!I44+'09'!I44+'10'!I44+'11'!I44+'12'!I44</f>
        <v>0</v>
      </c>
      <c r="J44" s="97">
        <f>'01'!J44+'13'!C44+'02'!J44+'03'!J44+'04'!J44+'05'!J44+'06'!J44+'07'!J44+'08'!J44+'09'!J44+'10'!J44+'11'!J44+'12'!J44</f>
        <v>7287077</v>
      </c>
      <c r="K44" s="97">
        <f>'01'!K44+'13'!K44+'02'!K44+'03'!K44+'04'!K44+'05'!K44+'06'!K44+'07'!K44+'08'!K44+'09'!K44+'10'!K44+'11'!K44+'12'!K44</f>
        <v>58980821</v>
      </c>
      <c r="L44" s="97">
        <f>'01'!L44+'13'!L44+'02'!L44+'03'!L44+'04'!L44+'05'!L44+'06'!L44+'07'!L44+'08'!L44+'09'!L44+'10'!L44+'11'!L44+'12'!L44</f>
        <v>4716785</v>
      </c>
      <c r="M44" s="144">
        <f>IF($G$4=0,0,('01'!M44+'13'!M44+'02'!M44+'03'!M44+'04'!M44+'05'!M44+'06'!M44+'07'!M44+'08'!M44+'09'!M44+'10'!M44+'11'!M44+'12'!M44)/$G$4)</f>
        <v>15.625</v>
      </c>
      <c r="N44" s="98">
        <v>99171007</v>
      </c>
      <c r="O44" s="99">
        <f t="shared" si="0"/>
        <v>0.5947385509557244</v>
      </c>
      <c r="P44" s="100">
        <f t="shared" si="1"/>
        <v>471846.568</v>
      </c>
    </row>
    <row r="45" spans="1:16" ht="12.75">
      <c r="A45" s="106" t="s">
        <v>62</v>
      </c>
      <c r="B45" s="96">
        <v>119</v>
      </c>
      <c r="C45" s="97">
        <f>'01'!C45+'13'!C45+'02'!C45+'03'!C45+'04'!C45+'05'!C45+'06'!C45+'07'!C45+'08'!C45+'09'!C45+'10'!C45+'11'!C45+'12'!C45</f>
        <v>115224664</v>
      </c>
      <c r="D45" s="97">
        <f>'01'!D45+'13'!D45+'02'!D45+'03'!D45+'04'!D45+'05'!D45+'06'!D45+'07'!D45+'08'!D45+'09'!D45+'10'!D45+'11'!D45+'12'!D45</f>
        <v>12036907</v>
      </c>
      <c r="E45" s="97">
        <f>'01'!E45+'13'!E45+'02'!E45+'03'!E45+'04'!E45+'05'!E45+'06'!E45+'07'!E45+'08'!E45+'09'!E45+'10'!E45+'11'!E45+'12'!E45</f>
        <v>26903143</v>
      </c>
      <c r="F45" s="97">
        <f>'01'!F45+'13'!F45+'02'!F45+'03'!F45+'04'!F45+'05'!F45+'06'!F45+'07'!F45+'08'!F45+'09'!F45+'10'!F45+'11'!F45+'12'!F45</f>
        <v>12398445</v>
      </c>
      <c r="G45" s="97">
        <f>'01'!G45+'13'!G45+'02'!G45+'03'!G45+'04'!G45+'05'!G45+'06'!G45+'07'!G45+'08'!G45+'09'!G45+'10'!G45+'11'!G45+'12'!G45</f>
        <v>4467829</v>
      </c>
      <c r="H45" s="97">
        <f>'01'!H45+'13'!H45+'02'!H45+'03'!H45+'04'!H45+'05'!H45+'06'!H45+'07'!H45+'08'!H45+'09'!H45+'10'!H45+'11'!H45+'12'!H45</f>
        <v>389358</v>
      </c>
      <c r="I45" s="97">
        <f>'01'!I45+'13'!I45+'02'!I45+'03'!I45+'04'!I45+'05'!I45+'06'!I45+'07'!I45+'08'!I45+'09'!I45+'10'!I45+'11'!I45+'12'!I45</f>
        <v>0</v>
      </c>
      <c r="J45" s="97">
        <f>'01'!J45+'13'!C45+'02'!J45+'03'!J45+'04'!J45+'05'!J45+'06'!J45+'07'!J45+'08'!J45+'09'!J45+'10'!J45+'11'!J45+'12'!J45</f>
        <v>22987319</v>
      </c>
      <c r="K45" s="97">
        <f>'01'!K45+'13'!K45+'02'!K45+'03'!K45+'04'!K45+'05'!K45+'06'!K45+'07'!K45+'08'!K45+'09'!K45+'10'!K45+'11'!K45+'12'!K45</f>
        <v>184048754</v>
      </c>
      <c r="L45" s="97">
        <f>'01'!L45+'13'!L45+'02'!L45+'03'!L45+'04'!L45+'05'!L45+'06'!L45+'07'!L45+'08'!L45+'09'!L45+'10'!L45+'11'!L45+'12'!L45</f>
        <v>15275539</v>
      </c>
      <c r="M45" s="144">
        <f>IF($G$4=0,0,('01'!M45+'13'!M45+'02'!M45+'03'!M45+'04'!M45+'05'!M45+'06'!M45+'07'!M45+'08'!M45+'09'!M45+'10'!M45+'11'!M45+'12'!M45)/$G$4)</f>
        <v>79.375</v>
      </c>
      <c r="N45" s="98">
        <v>309461618</v>
      </c>
      <c r="O45" s="99">
        <f t="shared" si="0"/>
        <v>0.5947385500970269</v>
      </c>
      <c r="P45" s="100">
        <f t="shared" si="1"/>
        <v>289840.557480315</v>
      </c>
    </row>
    <row r="46" spans="1:16" ht="12.75">
      <c r="A46" s="106" t="s">
        <v>63</v>
      </c>
      <c r="B46" s="96">
        <v>120</v>
      </c>
      <c r="C46" s="97">
        <f>'01'!C46+'13'!C46+'02'!C46+'03'!C46+'04'!C46+'05'!C46+'06'!C46+'07'!C46+'08'!C46+'09'!C46+'10'!C46+'11'!C46+'12'!C46</f>
        <v>426171577</v>
      </c>
      <c r="D46" s="97">
        <f>'01'!D46+'13'!D46+'02'!D46+'03'!D46+'04'!D46+'05'!D46+'06'!D46+'07'!D46+'08'!D46+'09'!D46+'10'!D46+'11'!D46+'12'!D46</f>
        <v>55736845</v>
      </c>
      <c r="E46" s="97">
        <f>'01'!E46+'13'!E46+'02'!E46+'03'!E46+'04'!E46+'05'!E46+'06'!E46+'07'!E46+'08'!E46+'09'!E46+'10'!E46+'11'!E46+'12'!E46</f>
        <v>60282449</v>
      </c>
      <c r="F46" s="97">
        <f>'01'!F46+'13'!F46+'02'!F46+'03'!F46+'04'!F46+'05'!F46+'06'!F46+'07'!F46+'08'!F46+'09'!F46+'10'!F46+'11'!F46+'12'!F46</f>
        <v>12139064</v>
      </c>
      <c r="G46" s="97">
        <f>'01'!G46+'13'!G46+'02'!G46+'03'!G46+'04'!G46+'05'!G46+'06'!G46+'07'!G46+'08'!G46+'09'!G46+'10'!G46+'11'!G46+'12'!G46</f>
        <v>80392601</v>
      </c>
      <c r="H46" s="97">
        <f>'01'!H46+'13'!H46+'02'!H46+'03'!H46+'04'!H46+'05'!H46+'06'!H46+'07'!H46+'08'!H46+'09'!H46+'10'!H46+'11'!H46+'12'!H46</f>
        <v>13032166</v>
      </c>
      <c r="I46" s="97">
        <f>'01'!I46+'13'!I46+'02'!I46+'03'!I46+'04'!I46+'05'!I46+'06'!I46+'07'!I46+'08'!I46+'09'!I46+'10'!I46+'11'!I46+'12'!I46</f>
        <v>0</v>
      </c>
      <c r="J46" s="97">
        <f>'01'!J46+'13'!C46+'02'!J46+'03'!J46+'04'!J46+'05'!J46+'06'!J46+'07'!J46+'08'!J46+'09'!J46+'10'!J46+'11'!J46+'12'!J46</f>
        <v>77450297</v>
      </c>
      <c r="K46" s="97">
        <f>'01'!K46+'13'!K46+'02'!K46+'03'!K46+'04'!K46+'05'!K46+'06'!K46+'07'!K46+'08'!K46+'09'!K46+'10'!K46+'11'!K46+'12'!K46</f>
        <v>692496794</v>
      </c>
      <c r="L46" s="97">
        <f>'01'!L46+'13'!L46+'02'!L46+'03'!L46+'04'!L46+'05'!L46+'06'!L46+'07'!L46+'08'!L46+'09'!L46+'10'!L46+'11'!L46+'12'!L46</f>
        <v>107851234</v>
      </c>
      <c r="M46" s="144">
        <f>IF($G$4=0,0,('01'!M46+'13'!M46+'02'!M46+'03'!M46+'04'!M46+'05'!M46+'06'!M46+'07'!M46+'08'!M46+'09'!M46+'10'!M46+'11'!M46+'12'!M46)/$G$4)</f>
        <v>530.625</v>
      </c>
      <c r="N46" s="98">
        <v>1164371794</v>
      </c>
      <c r="O46" s="99">
        <f t="shared" si="0"/>
        <v>0.5947385513531256</v>
      </c>
      <c r="P46" s="100">
        <f t="shared" si="1"/>
        <v>163132.3425206125</v>
      </c>
    </row>
    <row r="47" spans="1:16" ht="12.75">
      <c r="A47" s="140" t="s">
        <v>74</v>
      </c>
      <c r="B47" s="141">
        <v>121</v>
      </c>
      <c r="C47" s="143">
        <f aca="true" t="shared" si="4" ref="C47:L47">SUM(C40:C46)</f>
        <v>589120660</v>
      </c>
      <c r="D47" s="143">
        <f t="shared" si="4"/>
        <v>72223402</v>
      </c>
      <c r="E47" s="143">
        <f t="shared" si="4"/>
        <v>98617123</v>
      </c>
      <c r="F47" s="143">
        <f t="shared" si="4"/>
        <v>28097944</v>
      </c>
      <c r="G47" s="143">
        <f t="shared" si="4"/>
        <v>90536097</v>
      </c>
      <c r="H47" s="143">
        <f t="shared" si="4"/>
        <v>14327969</v>
      </c>
      <c r="I47" s="143">
        <f t="shared" si="4"/>
        <v>0</v>
      </c>
      <c r="J47" s="143">
        <f t="shared" si="4"/>
        <v>110413635</v>
      </c>
      <c r="K47" s="143">
        <f t="shared" si="4"/>
        <v>955871399</v>
      </c>
      <c r="L47" s="143">
        <f t="shared" si="4"/>
        <v>129310534</v>
      </c>
      <c r="M47" s="145">
        <f>SUM(M40:M46)</f>
        <v>630.625</v>
      </c>
      <c r="N47" s="143">
        <f>SUM(N40:N46)</f>
        <v>1607212778</v>
      </c>
      <c r="O47" s="99">
        <f t="shared" si="0"/>
        <v>0.5947385511640078</v>
      </c>
      <c r="P47" s="100">
        <f t="shared" si="1"/>
        <v>189469.0582755203</v>
      </c>
    </row>
    <row r="48" spans="1:16" ht="12.75">
      <c r="A48" s="140" t="s">
        <v>70</v>
      </c>
      <c r="B48" s="141">
        <v>152</v>
      </c>
      <c r="C48" s="143">
        <f aca="true" t="shared" si="5" ref="C48:L48">C32+C39+C47</f>
        <v>662758620</v>
      </c>
      <c r="D48" s="143">
        <f t="shared" si="5"/>
        <v>73925790</v>
      </c>
      <c r="E48" s="143">
        <f t="shared" si="5"/>
        <v>98617123</v>
      </c>
      <c r="F48" s="143">
        <f t="shared" si="5"/>
        <v>28336668</v>
      </c>
      <c r="G48" s="143">
        <f t="shared" si="5"/>
        <v>93360345</v>
      </c>
      <c r="H48" s="143">
        <f t="shared" si="5"/>
        <v>14710409</v>
      </c>
      <c r="I48" s="143">
        <f t="shared" si="5"/>
        <v>0</v>
      </c>
      <c r="J48" s="143">
        <f t="shared" si="5"/>
        <v>116213275</v>
      </c>
      <c r="K48" s="143">
        <f t="shared" si="5"/>
        <v>1039587524</v>
      </c>
      <c r="L48" s="143">
        <f t="shared" si="5"/>
        <v>132846174</v>
      </c>
      <c r="M48" s="145">
        <f>M32+M39+M47</f>
        <v>697.875</v>
      </c>
      <c r="N48" s="143">
        <f>N32+N39+N47</f>
        <v>1747974000</v>
      </c>
      <c r="O48" s="99">
        <f t="shared" si="0"/>
        <v>0.5947385510310794</v>
      </c>
      <c r="P48" s="100">
        <f t="shared" si="1"/>
        <v>186205.89718789182</v>
      </c>
    </row>
    <row r="49" spans="1:16" ht="12.75">
      <c r="A49" s="140" t="s">
        <v>51</v>
      </c>
      <c r="B49" s="141">
        <v>158</v>
      </c>
      <c r="C49" s="142">
        <f>'01'!C49+'13'!C49+'02'!C49+'03'!C49+'04'!C49+'05'!C49+'06'!C49+'07'!C49+'08'!C49+'09'!C49+'10'!C49+'11'!C49+'12'!C49</f>
        <v>3544769</v>
      </c>
      <c r="D49" s="142">
        <f>'01'!D49+'13'!D49+'02'!D49+'03'!D49+'04'!D49+'05'!D49+'06'!D49+'07'!D49+'08'!D49+'09'!D49+'10'!D49+'11'!D49+'12'!D49</f>
        <v>36159</v>
      </c>
      <c r="E49" s="142">
        <f>'01'!E49+'13'!E49+'02'!E49+'03'!E49+'04'!E49+'05'!E49+'06'!E49+'07'!E49+'08'!E49+'09'!E49+'10'!E49+'11'!E49+'12'!E49</f>
        <v>0</v>
      </c>
      <c r="F49" s="142">
        <f>'01'!F49+'13'!F49+'02'!F49+'03'!F49+'04'!F49+'05'!F49+'06'!F49+'07'!F49+'08'!F49+'09'!F49+'10'!F49+'11'!F49+'12'!F49</f>
        <v>0</v>
      </c>
      <c r="G49" s="142">
        <f>'01'!G49+'13'!G49+'02'!G49+'03'!G49+'04'!G49+'05'!G49+'06'!G49+'07'!G49+'08'!G49+'09'!G49+'10'!G49+'11'!G49+'12'!G49</f>
        <v>117600</v>
      </c>
      <c r="H49" s="142">
        <f>'01'!H49+'13'!H49+'02'!H49+'03'!H49+'04'!H49+'05'!H49+'06'!H49+'07'!H49+'08'!H49+'09'!H49+'10'!H49+'11'!H49+'12'!H49</f>
        <v>19600</v>
      </c>
      <c r="I49" s="142">
        <f>'01'!I49+'13'!I49+'02'!I49+'03'!I49+'04'!I49+'05'!I49+'06'!I49+'07'!I49+'08'!I49+'09'!I49+'10'!I49+'11'!I49+'12'!I49</f>
        <v>0</v>
      </c>
      <c r="J49" s="142">
        <f>'01'!J49+'13'!C49+'02'!J49+'03'!J49+'04'!J49+'05'!J49+'06'!J49+'07'!J49+'08'!J49+'09'!J49+'10'!J49+'11'!J49+'12'!J49</f>
        <v>403048</v>
      </c>
      <c r="K49" s="142">
        <f>'01'!K49+'13'!K49+'02'!K49+'03'!K49+'04'!K49+'05'!K49+'06'!K49+'07'!K49+'08'!K49+'09'!K49+'10'!K49+'11'!K49+'12'!K49</f>
        <v>3969748</v>
      </c>
      <c r="L49" s="142">
        <f>'01'!L49+'13'!L49+'02'!L49+'03'!L49+'04'!L49+'05'!L49+'06'!L49+'07'!L49+'08'!L49+'09'!L49+'10'!L49+'11'!L49+'12'!L49</f>
        <v>161657</v>
      </c>
      <c r="M49" s="144">
        <f>IF($G$4=0,0,('01'!M49+'13'!M49+'02'!M49+'03'!M49+'04'!M49+'05'!M49+'06'!M49+'07'!M49+'08'!M49+'09'!M49+'10'!M49+'11'!M49+'12'!M49)/$G$4)</f>
        <v>2.25</v>
      </c>
      <c r="N49" s="98">
        <v>5815000</v>
      </c>
      <c r="O49" s="99">
        <f t="shared" si="0"/>
        <v>0.6826737747205504</v>
      </c>
      <c r="P49" s="100">
        <f t="shared" si="1"/>
        <v>220541.55555555556</v>
      </c>
    </row>
    <row r="50" spans="1:16" ht="12.75">
      <c r="A50" s="140" t="s">
        <v>75</v>
      </c>
      <c r="B50" s="141">
        <v>159</v>
      </c>
      <c r="C50" s="143">
        <f aca="true" t="shared" si="6" ref="C50:L50">C48+C49</f>
        <v>666303389</v>
      </c>
      <c r="D50" s="143">
        <f t="shared" si="6"/>
        <v>73961949</v>
      </c>
      <c r="E50" s="143">
        <f t="shared" si="6"/>
        <v>98617123</v>
      </c>
      <c r="F50" s="143">
        <f t="shared" si="6"/>
        <v>28336668</v>
      </c>
      <c r="G50" s="143">
        <f t="shared" si="6"/>
        <v>93477945</v>
      </c>
      <c r="H50" s="143">
        <f t="shared" si="6"/>
        <v>14730009</v>
      </c>
      <c r="I50" s="143">
        <f t="shared" si="6"/>
        <v>0</v>
      </c>
      <c r="J50" s="143">
        <f t="shared" si="6"/>
        <v>116616323</v>
      </c>
      <c r="K50" s="143">
        <f t="shared" si="6"/>
        <v>1043557272</v>
      </c>
      <c r="L50" s="143">
        <f t="shared" si="6"/>
        <v>133007831</v>
      </c>
      <c r="M50" s="145">
        <f>M48+M49</f>
        <v>700.125</v>
      </c>
      <c r="N50" s="143">
        <f>N48+N49</f>
        <v>1753789000</v>
      </c>
      <c r="O50" s="99">
        <f t="shared" si="0"/>
        <v>0.5950301159375501</v>
      </c>
      <c r="P50" s="100">
        <f t="shared" si="1"/>
        <v>186316.24209962506</v>
      </c>
    </row>
    <row r="51" spans="1:14" ht="12.75">
      <c r="A51" s="156"/>
      <c r="B51" s="157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60"/>
    </row>
    <row r="52" spans="1:14" ht="12.75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7"/>
      <c r="N52" s="160"/>
    </row>
    <row r="53" spans="1:14" ht="12.75">
      <c r="A53" s="178" t="s">
        <v>3</v>
      </c>
      <c r="B53" s="136" t="s">
        <v>49</v>
      </c>
      <c r="C53" s="137" t="s">
        <v>4</v>
      </c>
      <c r="D53" s="137" t="s">
        <v>5</v>
      </c>
      <c r="E53" s="137" t="s">
        <v>6</v>
      </c>
      <c r="F53" s="137" t="s">
        <v>80</v>
      </c>
      <c r="G53" s="137" t="s">
        <v>81</v>
      </c>
      <c r="H53" s="137" t="s">
        <v>7</v>
      </c>
      <c r="I53" s="137" t="s">
        <v>42</v>
      </c>
      <c r="J53" s="137" t="s">
        <v>78</v>
      </c>
      <c r="K53" s="138" t="s">
        <v>155</v>
      </c>
      <c r="L53" s="137" t="s">
        <v>157</v>
      </c>
      <c r="M53" s="137" t="s">
        <v>159</v>
      </c>
      <c r="N53" s="160"/>
    </row>
    <row r="54" spans="1:14" ht="12.75">
      <c r="A54" s="179"/>
      <c r="B54" s="54" t="s">
        <v>50</v>
      </c>
      <c r="C54" s="55" t="s">
        <v>9</v>
      </c>
      <c r="D54" s="55" t="s">
        <v>10</v>
      </c>
      <c r="E54" s="55" t="s">
        <v>11</v>
      </c>
      <c r="F54" s="55" t="s">
        <v>10</v>
      </c>
      <c r="G54" s="55" t="s">
        <v>12</v>
      </c>
      <c r="H54" s="55" t="s">
        <v>13</v>
      </c>
      <c r="I54" s="55" t="s">
        <v>43</v>
      </c>
      <c r="J54" s="55" t="s">
        <v>79</v>
      </c>
      <c r="K54" s="117" t="s">
        <v>156</v>
      </c>
      <c r="L54" s="55" t="s">
        <v>158</v>
      </c>
      <c r="M54" s="55" t="s">
        <v>54</v>
      </c>
      <c r="N54" s="160"/>
    </row>
    <row r="55" spans="1:14" ht="12.75">
      <c r="A55" s="56"/>
      <c r="B55" s="57">
        <f aca="true" t="shared" si="7" ref="B55:B74">IF(A55="","",VLOOKUP(A55,$A$12:$B$50,2,FALSE))</f>
      </c>
      <c r="C55" s="57"/>
      <c r="D55" s="57"/>
      <c r="E55" s="57"/>
      <c r="F55" s="57"/>
      <c r="G55" s="57"/>
      <c r="H55" s="57"/>
      <c r="I55" s="57"/>
      <c r="J55" s="57"/>
      <c r="K55" s="118"/>
      <c r="L55" s="57"/>
      <c r="M55" s="61"/>
      <c r="N55" s="160"/>
    </row>
    <row r="56" spans="1:14" ht="12.75">
      <c r="A56" s="60"/>
      <c r="B56" s="61">
        <f t="shared" si="7"/>
      </c>
      <c r="C56" s="61"/>
      <c r="D56" s="61"/>
      <c r="E56" s="61"/>
      <c r="F56" s="61"/>
      <c r="G56" s="61"/>
      <c r="H56" s="61"/>
      <c r="I56" s="61"/>
      <c r="J56" s="61"/>
      <c r="K56" s="120"/>
      <c r="L56" s="61"/>
      <c r="M56" s="61"/>
      <c r="N56" s="160"/>
    </row>
    <row r="57" spans="1:14" ht="12.75">
      <c r="A57" s="60"/>
      <c r="B57" s="61">
        <f t="shared" si="7"/>
      </c>
      <c r="C57" s="61"/>
      <c r="D57" s="61"/>
      <c r="E57" s="61"/>
      <c r="F57" s="61"/>
      <c r="G57" s="61"/>
      <c r="H57" s="61"/>
      <c r="I57" s="61"/>
      <c r="J57" s="61"/>
      <c r="K57" s="120"/>
      <c r="L57" s="61"/>
      <c r="M57" s="61"/>
      <c r="N57" s="160"/>
    </row>
    <row r="58" spans="1:14" ht="12.75">
      <c r="A58" s="60"/>
      <c r="B58" s="61">
        <f t="shared" si="7"/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160"/>
    </row>
    <row r="59" spans="1:14" ht="12.75">
      <c r="A59" s="56"/>
      <c r="B59" s="57">
        <f t="shared" si="7"/>
      </c>
      <c r="C59" s="57"/>
      <c r="D59" s="57"/>
      <c r="E59" s="57"/>
      <c r="F59" s="57"/>
      <c r="G59" s="57"/>
      <c r="H59" s="57"/>
      <c r="I59" s="57"/>
      <c r="J59" s="57"/>
      <c r="K59" s="118"/>
      <c r="L59" s="57"/>
      <c r="M59" s="61"/>
      <c r="N59" s="160"/>
    </row>
    <row r="60" spans="1:14" ht="12.75">
      <c r="A60" s="60"/>
      <c r="B60" s="61">
        <f t="shared" si="7"/>
      </c>
      <c r="C60" s="61"/>
      <c r="D60" s="61"/>
      <c r="E60" s="61"/>
      <c r="F60" s="61"/>
      <c r="G60" s="61"/>
      <c r="H60" s="61"/>
      <c r="I60" s="61"/>
      <c r="J60" s="61"/>
      <c r="K60" s="120"/>
      <c r="L60" s="61"/>
      <c r="M60" s="61"/>
      <c r="N60" s="160"/>
    </row>
    <row r="61" spans="1:14" ht="12.75">
      <c r="A61" s="60"/>
      <c r="B61" s="61">
        <f t="shared" si="7"/>
      </c>
      <c r="C61" s="61"/>
      <c r="D61" s="61"/>
      <c r="E61" s="61"/>
      <c r="F61" s="61"/>
      <c r="G61" s="61"/>
      <c r="H61" s="61"/>
      <c r="I61" s="61"/>
      <c r="J61" s="61"/>
      <c r="K61" s="120"/>
      <c r="L61" s="61"/>
      <c r="M61" s="61"/>
      <c r="N61" s="160"/>
    </row>
    <row r="62" spans="1:14" ht="12.75">
      <c r="A62" s="60"/>
      <c r="B62" s="61">
        <f t="shared" si="7"/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160"/>
    </row>
    <row r="63" spans="1:14" ht="12.75">
      <c r="A63" s="56"/>
      <c r="B63" s="57">
        <f t="shared" si="7"/>
      </c>
      <c r="C63" s="57"/>
      <c r="D63" s="57"/>
      <c r="E63" s="57"/>
      <c r="F63" s="57"/>
      <c r="G63" s="57"/>
      <c r="H63" s="57"/>
      <c r="I63" s="57"/>
      <c r="J63" s="57"/>
      <c r="K63" s="118"/>
      <c r="L63" s="57"/>
      <c r="M63" s="61"/>
      <c r="N63" s="160"/>
    </row>
    <row r="64" spans="1:14" ht="12.75">
      <c r="A64" s="60"/>
      <c r="B64" s="61">
        <f t="shared" si="7"/>
      </c>
      <c r="C64" s="61"/>
      <c r="D64" s="61"/>
      <c r="E64" s="61"/>
      <c r="F64" s="61"/>
      <c r="G64" s="61"/>
      <c r="H64" s="61"/>
      <c r="I64" s="61"/>
      <c r="J64" s="61"/>
      <c r="K64" s="120"/>
      <c r="L64" s="61"/>
      <c r="M64" s="61"/>
      <c r="N64" s="160"/>
    </row>
    <row r="65" spans="1:14" ht="12.75">
      <c r="A65" s="60"/>
      <c r="B65" s="61">
        <f t="shared" si="7"/>
      </c>
      <c r="C65" s="61"/>
      <c r="D65" s="61"/>
      <c r="E65" s="61"/>
      <c r="F65" s="61"/>
      <c r="G65" s="61"/>
      <c r="H65" s="61"/>
      <c r="I65" s="61"/>
      <c r="J65" s="61"/>
      <c r="K65" s="120"/>
      <c r="L65" s="61"/>
      <c r="M65" s="61"/>
      <c r="N65" s="160"/>
    </row>
    <row r="66" spans="1:14" ht="12.75">
      <c r="A66" s="60"/>
      <c r="B66" s="61">
        <f t="shared" si="7"/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160"/>
    </row>
    <row r="67" spans="1:14" ht="12.75">
      <c r="A67" s="56"/>
      <c r="B67" s="57">
        <f t="shared" si="7"/>
      </c>
      <c r="C67" s="57"/>
      <c r="D67" s="57"/>
      <c r="E67" s="57"/>
      <c r="F67" s="57"/>
      <c r="G67" s="57"/>
      <c r="H67" s="57"/>
      <c r="I67" s="57"/>
      <c r="J67" s="57"/>
      <c r="K67" s="118"/>
      <c r="L67" s="57"/>
      <c r="M67" s="61"/>
      <c r="N67" s="160"/>
    </row>
    <row r="68" spans="1:14" ht="12.75">
      <c r="A68" s="60"/>
      <c r="B68" s="61">
        <f t="shared" si="7"/>
      </c>
      <c r="C68" s="61"/>
      <c r="D68" s="61"/>
      <c r="E68" s="61"/>
      <c r="F68" s="61"/>
      <c r="G68" s="61"/>
      <c r="H68" s="61"/>
      <c r="I68" s="61"/>
      <c r="J68" s="61"/>
      <c r="K68" s="120"/>
      <c r="L68" s="61"/>
      <c r="M68" s="61"/>
      <c r="N68" s="160"/>
    </row>
    <row r="69" spans="1:14" ht="12.75">
      <c r="A69" s="60"/>
      <c r="B69" s="61">
        <f t="shared" si="7"/>
      </c>
      <c r="C69" s="61"/>
      <c r="D69" s="61"/>
      <c r="E69" s="61"/>
      <c r="F69" s="61"/>
      <c r="G69" s="61"/>
      <c r="H69" s="61"/>
      <c r="I69" s="61"/>
      <c r="J69" s="61"/>
      <c r="K69" s="120"/>
      <c r="L69" s="61"/>
      <c r="M69" s="61"/>
      <c r="N69" s="160"/>
    </row>
    <row r="70" spans="1:14" ht="12.75">
      <c r="A70" s="60"/>
      <c r="B70" s="61">
        <f t="shared" si="7"/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160"/>
    </row>
    <row r="71" spans="1:14" ht="12.75">
      <c r="A71" s="56"/>
      <c r="B71" s="57">
        <f t="shared" si="7"/>
      </c>
      <c r="C71" s="57"/>
      <c r="D71" s="57"/>
      <c r="E71" s="57"/>
      <c r="F71" s="57"/>
      <c r="G71" s="57"/>
      <c r="H71" s="57"/>
      <c r="I71" s="57"/>
      <c r="J71" s="57"/>
      <c r="K71" s="118"/>
      <c r="L71" s="57"/>
      <c r="M71" s="61"/>
      <c r="N71" s="160"/>
    </row>
    <row r="72" spans="1:14" ht="12.75">
      <c r="A72" s="60"/>
      <c r="B72" s="61">
        <f t="shared" si="7"/>
      </c>
      <c r="C72" s="61"/>
      <c r="D72" s="61"/>
      <c r="E72" s="61"/>
      <c r="F72" s="61"/>
      <c r="G72" s="61"/>
      <c r="H72" s="61"/>
      <c r="I72" s="61"/>
      <c r="J72" s="61"/>
      <c r="K72" s="120"/>
      <c r="L72" s="61"/>
      <c r="M72" s="61"/>
      <c r="N72" s="160"/>
    </row>
    <row r="73" spans="1:14" ht="12.75">
      <c r="A73" s="60"/>
      <c r="B73" s="61">
        <f t="shared" si="7"/>
      </c>
      <c r="C73" s="61"/>
      <c r="D73" s="61"/>
      <c r="E73" s="61"/>
      <c r="F73" s="61"/>
      <c r="G73" s="61"/>
      <c r="H73" s="61"/>
      <c r="I73" s="61"/>
      <c r="J73" s="61"/>
      <c r="K73" s="120"/>
      <c r="L73" s="61"/>
      <c r="M73" s="61"/>
      <c r="N73" s="160"/>
    </row>
    <row r="74" spans="1:13" ht="12.75">
      <c r="A74" s="60"/>
      <c r="B74" s="61">
        <f t="shared" si="7"/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ht="12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1:13" ht="12.75">
      <c r="A76" s="109" t="s">
        <v>21</v>
      </c>
      <c r="B76" s="175" t="s">
        <v>216</v>
      </c>
      <c r="C76" s="199"/>
      <c r="D76" s="199"/>
      <c r="E76" s="108"/>
      <c r="F76" s="107"/>
      <c r="G76" s="107"/>
      <c r="H76" s="107"/>
      <c r="I76" s="107"/>
      <c r="J76" s="107"/>
      <c r="K76" s="107"/>
      <c r="L76" s="107"/>
      <c r="M76" s="107"/>
    </row>
    <row r="77" spans="1:13" ht="12.75">
      <c r="A77" s="107"/>
      <c r="B77" s="107"/>
      <c r="C77" s="107"/>
      <c r="D77" s="107"/>
      <c r="E77" s="107"/>
      <c r="F77" s="107"/>
      <c r="G77" s="107"/>
      <c r="H77" s="107"/>
      <c r="I77" s="107"/>
      <c r="J77" s="174" t="s">
        <v>211</v>
      </c>
      <c r="K77" s="174"/>
      <c r="L77" s="107"/>
      <c r="M77" s="107"/>
    </row>
    <row r="78" spans="1:13" ht="12.75">
      <c r="A78" s="107"/>
      <c r="B78" s="107"/>
      <c r="C78" s="107"/>
      <c r="D78" s="107"/>
      <c r="E78" s="107"/>
      <c r="F78" s="107"/>
      <c r="G78" s="107"/>
      <c r="H78" s="107"/>
      <c r="I78" s="107"/>
      <c r="J78" s="200" t="s">
        <v>48</v>
      </c>
      <c r="K78" s="200"/>
      <c r="L78" s="107"/>
      <c r="M78" s="107"/>
    </row>
    <row r="79" spans="1:13" ht="12.7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1:13" ht="12.7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1:13" ht="12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</row>
    <row r="223" ht="24.75" customHeight="1">
      <c r="A223" s="110" t="s">
        <v>123</v>
      </c>
    </row>
    <row r="224" ht="24.75" customHeight="1">
      <c r="A224" s="110" t="s">
        <v>124</v>
      </c>
    </row>
    <row r="225" ht="24.75" customHeight="1">
      <c r="A225" s="110" t="s">
        <v>125</v>
      </c>
    </row>
    <row r="226" ht="24.75" customHeight="1">
      <c r="A226" s="110" t="s">
        <v>126</v>
      </c>
    </row>
    <row r="227" ht="24.75" customHeight="1">
      <c r="A227" s="110" t="s">
        <v>127</v>
      </c>
    </row>
    <row r="228" ht="24.75" customHeight="1">
      <c r="A228" s="110" t="s">
        <v>128</v>
      </c>
    </row>
    <row r="229" ht="24.75" customHeight="1">
      <c r="A229" s="110" t="s">
        <v>129</v>
      </c>
    </row>
    <row r="230" ht="24.75" customHeight="1">
      <c r="A230" s="110" t="s">
        <v>132</v>
      </c>
    </row>
    <row r="231" ht="24.75" customHeight="1">
      <c r="A231" s="110" t="s">
        <v>133</v>
      </c>
    </row>
    <row r="232" ht="24.75" customHeight="1">
      <c r="A232" s="110" t="s">
        <v>134</v>
      </c>
    </row>
    <row r="233" ht="24.75" customHeight="1">
      <c r="A233" s="110" t="s">
        <v>135</v>
      </c>
    </row>
    <row r="234" ht="24.75" customHeight="1">
      <c r="A234" s="110" t="s">
        <v>130</v>
      </c>
    </row>
    <row r="235" ht="24.75" customHeight="1">
      <c r="A235" s="110" t="s">
        <v>136</v>
      </c>
    </row>
    <row r="236" ht="24.75" customHeight="1">
      <c r="A236" s="110" t="s">
        <v>137</v>
      </c>
    </row>
    <row r="237" ht="24.75" customHeight="1">
      <c r="A237" s="110" t="s">
        <v>131</v>
      </c>
    </row>
    <row r="238" ht="24.75" customHeight="1">
      <c r="A238" s="110" t="s">
        <v>138</v>
      </c>
    </row>
    <row r="239" ht="24.75" customHeight="1">
      <c r="A239" s="110" t="s">
        <v>139</v>
      </c>
    </row>
    <row r="240" ht="24.75" customHeight="1">
      <c r="A240" s="110" t="s">
        <v>140</v>
      </c>
    </row>
    <row r="241" ht="24.75" customHeight="1">
      <c r="A241" s="110" t="s">
        <v>141</v>
      </c>
    </row>
    <row r="242" ht="24.75" customHeight="1">
      <c r="A242" s="110" t="s">
        <v>142</v>
      </c>
    </row>
    <row r="243" ht="24.75" customHeight="1">
      <c r="A243" s="110" t="s">
        <v>143</v>
      </c>
    </row>
    <row r="244" ht="24.75" customHeight="1">
      <c r="A244" s="110" t="s">
        <v>144</v>
      </c>
    </row>
    <row r="245" ht="24.75" customHeight="1">
      <c r="A245" s="110" t="s">
        <v>145</v>
      </c>
    </row>
    <row r="246" ht="24.75" customHeight="1">
      <c r="A246" s="110" t="s">
        <v>146</v>
      </c>
    </row>
    <row r="247" ht="24.75" customHeight="1">
      <c r="A247" s="110" t="s">
        <v>147</v>
      </c>
    </row>
    <row r="248" ht="24.75" customHeight="1">
      <c r="A248" s="110" t="s">
        <v>148</v>
      </c>
    </row>
    <row r="249" ht="24.75" customHeight="1">
      <c r="A249" s="110" t="s">
        <v>149</v>
      </c>
    </row>
    <row r="250" ht="24.75" customHeight="1">
      <c r="A250" s="110" t="s">
        <v>150</v>
      </c>
    </row>
    <row r="251" ht="24.75" customHeight="1">
      <c r="A251" s="110" t="s">
        <v>151</v>
      </c>
    </row>
    <row r="252" ht="24.75" customHeight="1">
      <c r="A252" s="110" t="s">
        <v>152</v>
      </c>
    </row>
    <row r="253" ht="24.75" customHeight="1">
      <c r="A253" s="110" t="s">
        <v>153</v>
      </c>
    </row>
    <row r="254" ht="24.75" customHeight="1">
      <c r="A254" s="110" t="s">
        <v>154</v>
      </c>
    </row>
    <row r="264" ht="12.75">
      <c r="A264" s="65" t="s">
        <v>22</v>
      </c>
    </row>
    <row r="265" ht="12.75">
      <c r="A265" s="65" t="s">
        <v>23</v>
      </c>
    </row>
    <row r="266" ht="12.75">
      <c r="A266" s="65" t="s">
        <v>24</v>
      </c>
    </row>
    <row r="267" ht="12.75">
      <c r="A267" s="65" t="s">
        <v>26</v>
      </c>
    </row>
    <row r="268" ht="12.75">
      <c r="A268" s="65" t="s">
        <v>25</v>
      </c>
    </row>
    <row r="269" ht="12.75">
      <c r="A269" s="65" t="s">
        <v>27</v>
      </c>
    </row>
    <row r="270" ht="12.75">
      <c r="A270" s="65" t="s">
        <v>28</v>
      </c>
    </row>
    <row r="271" ht="12.75">
      <c r="A271" s="65" t="s">
        <v>29</v>
      </c>
    </row>
    <row r="272" ht="12.75">
      <c r="A272" s="65" t="s">
        <v>30</v>
      </c>
    </row>
    <row r="273" ht="12.75">
      <c r="A273" s="65" t="s">
        <v>31</v>
      </c>
    </row>
    <row r="274" ht="12.75">
      <c r="A274" s="65" t="s">
        <v>38</v>
      </c>
    </row>
    <row r="275" ht="12.75">
      <c r="A275" s="65" t="s">
        <v>39</v>
      </c>
    </row>
    <row r="276" ht="12.75">
      <c r="A276" s="65" t="s">
        <v>32</v>
      </c>
    </row>
    <row r="277" ht="12.75">
      <c r="A277" s="65" t="s">
        <v>33</v>
      </c>
    </row>
    <row r="278" ht="12.75">
      <c r="A278" s="65" t="s">
        <v>34</v>
      </c>
    </row>
    <row r="279" ht="12.75">
      <c r="A279" s="65" t="s">
        <v>35</v>
      </c>
    </row>
    <row r="280" ht="12.75">
      <c r="A280" s="65" t="s">
        <v>36</v>
      </c>
    </row>
    <row r="281" ht="12.75">
      <c r="A281" s="65" t="s">
        <v>37</v>
      </c>
    </row>
    <row r="282" ht="12.75">
      <c r="A282" s="65" t="s">
        <v>40</v>
      </c>
    </row>
    <row r="283" ht="12.75">
      <c r="A283" s="65" t="s">
        <v>41</v>
      </c>
    </row>
    <row r="284" ht="12.75">
      <c r="A284" s="111" t="s">
        <v>64</v>
      </c>
    </row>
    <row r="285" ht="12.75">
      <c r="A285" s="111" t="s">
        <v>65</v>
      </c>
    </row>
    <row r="286" ht="12.75">
      <c r="A286" s="111" t="s">
        <v>66</v>
      </c>
    </row>
    <row r="287" ht="12.75">
      <c r="A287" s="111" t="s">
        <v>67</v>
      </c>
    </row>
    <row r="288" ht="12.75">
      <c r="A288" s="111" t="s">
        <v>68</v>
      </c>
    </row>
    <row r="289" ht="12.75">
      <c r="A289" s="111" t="s">
        <v>69</v>
      </c>
    </row>
    <row r="290" ht="12.75">
      <c r="A290" s="65" t="s">
        <v>57</v>
      </c>
    </row>
    <row r="291" ht="12.75">
      <c r="A291" s="65" t="s">
        <v>58</v>
      </c>
    </row>
    <row r="292" ht="12.75">
      <c r="A292" s="65" t="s">
        <v>59</v>
      </c>
    </row>
    <row r="293" ht="12.75">
      <c r="A293" s="65" t="s">
        <v>60</v>
      </c>
    </row>
    <row r="294" ht="12.75">
      <c r="A294" s="65" t="s">
        <v>61</v>
      </c>
    </row>
    <row r="295" ht="12.75">
      <c r="A295" s="65" t="s">
        <v>62</v>
      </c>
    </row>
    <row r="296" ht="12.75">
      <c r="A296" s="65" t="s">
        <v>63</v>
      </c>
    </row>
    <row r="297" ht="12.75">
      <c r="A297" s="65" t="s">
        <v>51</v>
      </c>
    </row>
  </sheetData>
  <sheetProtection/>
  <mergeCells count="11">
    <mergeCell ref="A52:M52"/>
    <mergeCell ref="A53:A54"/>
    <mergeCell ref="K2:L2"/>
    <mergeCell ref="B76:D76"/>
    <mergeCell ref="J77:K77"/>
    <mergeCell ref="J78:K78"/>
    <mergeCell ref="C7:D7"/>
    <mergeCell ref="K3:L3"/>
    <mergeCell ref="E4:F4"/>
    <mergeCell ref="A5:F5"/>
    <mergeCell ref="H5:P5"/>
  </mergeCells>
  <conditionalFormatting sqref="O12:O50">
    <cfRule type="cellIs" priority="2" dxfId="4" operator="equal" stopIfTrue="1">
      <formula>0</formula>
    </cfRule>
  </conditionalFormatting>
  <conditionalFormatting sqref="N51:N73 P12:P50">
    <cfRule type="cellIs" priority="1" dxfId="4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9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65" customWidth="1"/>
    <col min="2" max="2" width="5.25390625" style="65" customWidth="1"/>
    <col min="3" max="9" width="14.625" style="65" customWidth="1"/>
    <col min="10" max="10" width="15.75390625" style="65" customWidth="1"/>
    <col min="11" max="11" width="8.75390625" style="65" customWidth="1"/>
    <col min="12" max="12" width="15.75390625" style="65" customWidth="1"/>
    <col min="13" max="14" width="13.75390625" style="65" customWidth="1"/>
    <col min="15" max="16384" width="9.125" style="65" customWidth="1"/>
  </cols>
  <sheetData>
    <row r="1" ht="25.5" customHeight="1">
      <c r="A1" s="1" t="str">
        <f>'01'!A1</f>
        <v>Fővárosi Büntetés-végrehajtási Intézet</v>
      </c>
    </row>
    <row r="2" spans="1:10" ht="28.5" customHeight="1">
      <c r="A2" s="3" t="s">
        <v>71</v>
      </c>
      <c r="H2" s="5" t="s">
        <v>0</v>
      </c>
      <c r="I2" s="198" t="s">
        <v>215</v>
      </c>
      <c r="J2" s="170"/>
    </row>
    <row r="3" spans="1:10" ht="12.75">
      <c r="A3" s="3"/>
      <c r="H3" s="5" t="s">
        <v>77</v>
      </c>
      <c r="I3" s="169" t="s">
        <v>208</v>
      </c>
      <c r="J3" s="170"/>
    </row>
    <row r="4" spans="1:7" ht="18" customHeight="1">
      <c r="A4" s="6"/>
      <c r="E4" s="150" t="s">
        <v>55</v>
      </c>
      <c r="F4" s="150"/>
      <c r="G4" s="66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72" t="s">
        <v>85</v>
      </c>
      <c r="B5" s="172"/>
      <c r="C5" s="172"/>
      <c r="D5" s="172"/>
      <c r="E5" s="172"/>
      <c r="F5" s="172"/>
      <c r="G5" s="7" t="s">
        <v>83</v>
      </c>
      <c r="H5" s="171" t="s">
        <v>196</v>
      </c>
      <c r="I5" s="171"/>
      <c r="J5" s="171"/>
      <c r="K5" s="171"/>
      <c r="L5" s="171"/>
      <c r="M5" s="171"/>
      <c r="N5" s="171"/>
    </row>
    <row r="6" spans="1:10" ht="15.75" customHeight="1" thickBot="1">
      <c r="A6" s="67"/>
      <c r="J6" s="68" t="s">
        <v>76</v>
      </c>
    </row>
    <row r="7" spans="1:14" ht="12.75">
      <c r="A7" s="153"/>
      <c r="B7" s="121"/>
      <c r="C7" s="15" t="s">
        <v>103</v>
      </c>
      <c r="D7" s="121" t="s">
        <v>115</v>
      </c>
      <c r="E7" s="121"/>
      <c r="F7" s="16" t="s">
        <v>107</v>
      </c>
      <c r="G7" s="16" t="s">
        <v>110</v>
      </c>
      <c r="H7" s="16" t="s">
        <v>112</v>
      </c>
      <c r="I7" s="16" t="s">
        <v>112</v>
      </c>
      <c r="J7" s="74" t="s">
        <v>112</v>
      </c>
      <c r="K7" s="74" t="s">
        <v>53</v>
      </c>
      <c r="L7" s="74" t="s">
        <v>112</v>
      </c>
      <c r="M7" s="74" t="s">
        <v>112</v>
      </c>
      <c r="N7" s="74" t="s">
        <v>112</v>
      </c>
    </row>
    <row r="8" spans="1:14" ht="12.75">
      <c r="A8" s="152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51" t="s">
        <v>118</v>
      </c>
      <c r="K8" s="81" t="s">
        <v>54</v>
      </c>
      <c r="L8" s="81" t="s">
        <v>118</v>
      </c>
      <c r="M8" s="81" t="s">
        <v>118</v>
      </c>
      <c r="N8" s="81" t="s">
        <v>185</v>
      </c>
    </row>
    <row r="9" spans="1:14" ht="12.75">
      <c r="A9" s="15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51" t="s">
        <v>114</v>
      </c>
      <c r="K9" s="81" t="s">
        <v>15</v>
      </c>
      <c r="L9" s="81" t="s">
        <v>197</v>
      </c>
      <c r="M9" s="81" t="s">
        <v>114</v>
      </c>
      <c r="N9" s="81" t="s">
        <v>201</v>
      </c>
    </row>
    <row r="10" spans="1:14" ht="13.5" thickBot="1">
      <c r="A10" s="25"/>
      <c r="B10" s="155"/>
      <c r="C10" s="27" t="s">
        <v>178</v>
      </c>
      <c r="D10" s="27" t="s">
        <v>179</v>
      </c>
      <c r="E10" s="30" t="s">
        <v>180</v>
      </c>
      <c r="F10" s="147" t="s">
        <v>181</v>
      </c>
      <c r="G10" s="27" t="s">
        <v>183</v>
      </c>
      <c r="H10" s="27" t="s">
        <v>187</v>
      </c>
      <c r="I10" s="27" t="s">
        <v>184</v>
      </c>
      <c r="J10" s="146" t="s">
        <v>182</v>
      </c>
      <c r="K10" s="146"/>
      <c r="L10" s="146" t="s">
        <v>177</v>
      </c>
      <c r="M10" s="146" t="s">
        <v>52</v>
      </c>
      <c r="N10" s="146" t="s">
        <v>56</v>
      </c>
    </row>
    <row r="11" spans="1:14" s="94" customFormat="1" ht="23.25" customHeight="1">
      <c r="A11" s="90"/>
      <c r="B11" s="35"/>
      <c r="C11" s="91"/>
      <c r="D11" s="91"/>
      <c r="E11" s="91"/>
      <c r="F11" s="91"/>
      <c r="G11" s="91"/>
      <c r="H11" s="91"/>
      <c r="I11" s="91"/>
      <c r="J11" s="92"/>
      <c r="K11" s="93"/>
      <c r="L11" s="93"/>
      <c r="M11" s="93"/>
      <c r="N11" s="93"/>
    </row>
    <row r="12" spans="1:15" ht="12.75" customHeight="1">
      <c r="A12" s="95" t="s">
        <v>22</v>
      </c>
      <c r="B12" s="96">
        <v>71</v>
      </c>
      <c r="C12" s="97">
        <f>'01M'!C12+'13M'!C12+'02M'!C12+'03M'!C12+'04M'!C12+'05M'!C12+'06M'!C12+'07M'!C12+'08M'!C12+'09M'!C12+'10M'!C12+'11M'!C12+'12M'!C12</f>
        <v>0</v>
      </c>
      <c r="D12" s="97">
        <f>'01M'!D12+'13M'!D12+'02M'!D12+'03M'!D12+'04M'!D12+'05M'!D12+'06M'!D12+'07M'!D12+'08M'!D12+'09M'!D12+'10M'!D12+'11M'!D12+'12M'!D12</f>
        <v>0</v>
      </c>
      <c r="E12" s="97">
        <f>'01M'!E12+'13M'!E12+'02M'!E12+'03M'!E12+'04M'!E12+'05M'!E12+'06M'!E12+'07M'!E12+'08M'!E12+'09M'!E12+'10M'!E12+'11M'!E12+'12M'!E12</f>
        <v>0</v>
      </c>
      <c r="F12" s="97">
        <f>'01M'!F12+'13M'!F12+'02M'!F12+'03M'!F12+'04M'!F12+'05M'!F12+'06M'!F12+'07M'!F12+'08M'!F12+'09M'!F12+'10M'!F12+'11M'!F12+'12M'!F12</f>
        <v>0</v>
      </c>
      <c r="G12" s="97">
        <f>'01M'!G12+'13M'!G12+'02M'!G12+'03M'!G12+'04M'!G12+'05M'!G12+'06M'!G12+'07M'!G12+'08M'!G12+'09M'!G12+'10M'!G12+'11M'!G12+'12M'!G12</f>
        <v>0</v>
      </c>
      <c r="H12" s="97">
        <f>'01M'!H12+'13M'!H12+'02M'!H12+'03M'!H12+'04M'!H12+'05M'!H12+'06M'!H12+'07M'!H12+'08M'!H12+'09M'!H12+'10M'!H12+'11M'!H12+'12M'!H12</f>
        <v>0</v>
      </c>
      <c r="I12" s="97">
        <f>'01M'!I12+'13M'!I12+'02M'!I12+'03M'!I12+'04M'!I12+'05M'!I12+'06M'!I12+'07M'!I12+'08M'!I12+'09M'!I12+'10M'!I12+'11M'!I12+'12M'!I12</f>
        <v>0</v>
      </c>
      <c r="J12" s="97">
        <f>'01M'!J12+'13M'!J12+'02M'!J12+'03M'!J12+'04M'!J12+'05M'!J12+'06M'!J12+'07M'!J12+'08M'!J12+'09M'!J12+'10M'!J12+'11M'!J12+'12M'!J12</f>
        <v>0</v>
      </c>
      <c r="K12" s="144">
        <f>'01M'!K12+'13M'!K12+'02M'!K12+'03M'!K12+'04M'!K12+'05M'!K12+'06M'!K12+'07M'!K12+'08M'!K12+'09M'!K12+'10M'!K12+'11M'!K12+'12M'!K12</f>
        <v>0</v>
      </c>
      <c r="L12" s="98"/>
      <c r="M12" s="99">
        <f>IF(L12=0,L12,I12/L12)</f>
        <v>0</v>
      </c>
      <c r="N12" s="100">
        <f>IF(K12=0,K12,(I12/K12)/$G$4)</f>
        <v>0</v>
      </c>
      <c r="O12" s="101"/>
    </row>
    <row r="13" spans="1:14" ht="12.75" customHeight="1">
      <c r="A13" s="95" t="s">
        <v>23</v>
      </c>
      <c r="B13" s="96">
        <v>72</v>
      </c>
      <c r="C13" s="97">
        <f>'01M'!C13+'13M'!C13+'02M'!C13+'03M'!C13+'04M'!C13+'05M'!C13+'06M'!C13+'07M'!C13+'08M'!C13+'09M'!C13+'10M'!C13+'11M'!C13+'12M'!C13</f>
        <v>0</v>
      </c>
      <c r="D13" s="97">
        <f>'01M'!D13+'13M'!D13+'02M'!D13+'03M'!D13+'04M'!D13+'05M'!D13+'06M'!D13+'07M'!D13+'08M'!D13+'09M'!D13+'10M'!D13+'11M'!D13+'12M'!D13</f>
        <v>0</v>
      </c>
      <c r="E13" s="97">
        <f>'01M'!E13+'13M'!E13+'02M'!E13+'03M'!E13+'04M'!E13+'05M'!E13+'06M'!E13+'07M'!E13+'08M'!E13+'09M'!E13+'10M'!E13+'11M'!E13+'12M'!E13</f>
        <v>0</v>
      </c>
      <c r="F13" s="97">
        <f>'01M'!F13+'13M'!F13+'02M'!F13+'03M'!F13+'04M'!F13+'05M'!F13+'06M'!F13+'07M'!F13+'08M'!F13+'09M'!F13+'10M'!F13+'11M'!F13+'12M'!F13</f>
        <v>0</v>
      </c>
      <c r="G13" s="97">
        <f>'01M'!G13+'13M'!G13+'02M'!G13+'03M'!G13+'04M'!G13+'05M'!G13+'06M'!G13+'07M'!G13+'08M'!G13+'09M'!G13+'10M'!G13+'11M'!G13+'12M'!G13</f>
        <v>0</v>
      </c>
      <c r="H13" s="97">
        <f>'01M'!H13+'13M'!H13+'02M'!H13+'03M'!H13+'04M'!H13+'05M'!H13+'06M'!H13+'07M'!H13+'08M'!H13+'09M'!H13+'10M'!H13+'11M'!H13+'12M'!H13</f>
        <v>0</v>
      </c>
      <c r="I13" s="97">
        <f>'01M'!I13+'13M'!I13+'02M'!I13+'03M'!I13+'04M'!I13+'05M'!I13+'06M'!I13+'07M'!I13+'08M'!I13+'09M'!I13+'10M'!I13+'11M'!I13+'12M'!I13</f>
        <v>0</v>
      </c>
      <c r="J13" s="97">
        <f>'01M'!J13+'13M'!J13+'02M'!J13+'03M'!J13+'04M'!J13+'05M'!J13+'06M'!J13+'07M'!J13+'08M'!J13+'09M'!J13+'10M'!J13+'11M'!J13+'12M'!J13</f>
        <v>0</v>
      </c>
      <c r="K13" s="144">
        <f>'01M'!K13+'13M'!K13+'02M'!K13+'03M'!K13+'04M'!K13+'05M'!K13+'06M'!K13+'07M'!K13+'08M'!K13+'09M'!K13+'10M'!K13+'11M'!K13+'12M'!K13</f>
        <v>0</v>
      </c>
      <c r="L13" s="98"/>
      <c r="M13" s="99">
        <f aca="true" t="shared" si="0" ref="M13:M50">IF(L13=0,L13,I13/L13)</f>
        <v>0</v>
      </c>
      <c r="N13" s="100">
        <f aca="true" t="shared" si="1" ref="N13:N50">IF(K13=0,K13,(I13/K13)/$G$4)</f>
        <v>0</v>
      </c>
    </row>
    <row r="14" spans="1:14" ht="12.75" customHeight="1">
      <c r="A14" s="95" t="s">
        <v>24</v>
      </c>
      <c r="B14" s="96">
        <v>73</v>
      </c>
      <c r="C14" s="97">
        <f>'01M'!C14+'13M'!C14+'02M'!C14+'03M'!C14+'04M'!C14+'05M'!C14+'06M'!C14+'07M'!C14+'08M'!C14+'09M'!C14+'10M'!C14+'11M'!C14+'12M'!C14</f>
        <v>0</v>
      </c>
      <c r="D14" s="97">
        <f>'01M'!D14+'13M'!D14+'02M'!D14+'03M'!D14+'04M'!D14+'05M'!D14+'06M'!D14+'07M'!D14+'08M'!D14+'09M'!D14+'10M'!D14+'11M'!D14+'12M'!D14</f>
        <v>0</v>
      </c>
      <c r="E14" s="97">
        <f>'01M'!E14+'13M'!E14+'02M'!E14+'03M'!E14+'04M'!E14+'05M'!E14+'06M'!E14+'07M'!E14+'08M'!E14+'09M'!E14+'10M'!E14+'11M'!E14+'12M'!E14</f>
        <v>0</v>
      </c>
      <c r="F14" s="97">
        <f>'01M'!F14+'13M'!F14+'02M'!F14+'03M'!F14+'04M'!F14+'05M'!F14+'06M'!F14+'07M'!F14+'08M'!F14+'09M'!F14+'10M'!F14+'11M'!F14+'12M'!F14</f>
        <v>0</v>
      </c>
      <c r="G14" s="97">
        <f>'01M'!G14+'13M'!G14+'02M'!G14+'03M'!G14+'04M'!G14+'05M'!G14+'06M'!G14+'07M'!G14+'08M'!G14+'09M'!G14+'10M'!G14+'11M'!G14+'12M'!G14</f>
        <v>0</v>
      </c>
      <c r="H14" s="97">
        <f>'01M'!H14+'13M'!H14+'02M'!H14+'03M'!H14+'04M'!H14+'05M'!H14+'06M'!H14+'07M'!H14+'08M'!H14+'09M'!H14+'10M'!H14+'11M'!H14+'12M'!H14</f>
        <v>0</v>
      </c>
      <c r="I14" s="97">
        <f>'01M'!I14+'13M'!I14+'02M'!I14+'03M'!I14+'04M'!I14+'05M'!I14+'06M'!I14+'07M'!I14+'08M'!I14+'09M'!I14+'10M'!I14+'11M'!I14+'12M'!I14</f>
        <v>0</v>
      </c>
      <c r="J14" s="97">
        <f>'01M'!J14+'13M'!J14+'02M'!J14+'03M'!J14+'04M'!J14+'05M'!J14+'06M'!J14+'07M'!J14+'08M'!J14+'09M'!J14+'10M'!J14+'11M'!J14+'12M'!J14</f>
        <v>0</v>
      </c>
      <c r="K14" s="144">
        <f>'01M'!K14+'13M'!K14+'02M'!K14+'03M'!K14+'04M'!K14+'05M'!K14+'06M'!K14+'07M'!K14+'08M'!K14+'09M'!K14+'10M'!K14+'11M'!K14+'12M'!K14</f>
        <v>0</v>
      </c>
      <c r="L14" s="98"/>
      <c r="M14" s="99">
        <f t="shared" si="0"/>
        <v>0</v>
      </c>
      <c r="N14" s="100">
        <f t="shared" si="1"/>
        <v>0</v>
      </c>
    </row>
    <row r="15" spans="1:14" ht="12.75" customHeight="1">
      <c r="A15" s="95" t="s">
        <v>26</v>
      </c>
      <c r="B15" s="96">
        <v>74</v>
      </c>
      <c r="C15" s="97">
        <f>'01M'!C15+'13M'!C15+'02M'!C15+'03M'!C15+'04M'!C15+'05M'!C15+'06M'!C15+'07M'!C15+'08M'!C15+'09M'!C15+'10M'!C15+'11M'!C15+'12M'!C15</f>
        <v>0</v>
      </c>
      <c r="D15" s="97">
        <f>'01M'!D15+'13M'!D15+'02M'!D15+'03M'!D15+'04M'!D15+'05M'!D15+'06M'!D15+'07M'!D15+'08M'!D15+'09M'!D15+'10M'!D15+'11M'!D15+'12M'!D15</f>
        <v>0</v>
      </c>
      <c r="E15" s="97">
        <f>'01M'!E15+'13M'!E15+'02M'!E15+'03M'!E15+'04M'!E15+'05M'!E15+'06M'!E15+'07M'!E15+'08M'!E15+'09M'!E15+'10M'!E15+'11M'!E15+'12M'!E15</f>
        <v>0</v>
      </c>
      <c r="F15" s="97">
        <f>'01M'!F15+'13M'!F15+'02M'!F15+'03M'!F15+'04M'!F15+'05M'!F15+'06M'!F15+'07M'!F15+'08M'!F15+'09M'!F15+'10M'!F15+'11M'!F15+'12M'!F15</f>
        <v>0</v>
      </c>
      <c r="G15" s="97">
        <f>'01M'!G15+'13M'!G15+'02M'!G15+'03M'!G15+'04M'!G15+'05M'!G15+'06M'!G15+'07M'!G15+'08M'!G15+'09M'!G15+'10M'!G15+'11M'!G15+'12M'!G15</f>
        <v>0</v>
      </c>
      <c r="H15" s="97">
        <f>'01M'!H15+'13M'!H15+'02M'!H15+'03M'!H15+'04M'!H15+'05M'!H15+'06M'!H15+'07M'!H15+'08M'!H15+'09M'!H15+'10M'!H15+'11M'!H15+'12M'!H15</f>
        <v>0</v>
      </c>
      <c r="I15" s="97">
        <f>'01M'!I15+'13M'!I15+'02M'!I15+'03M'!I15+'04M'!I15+'05M'!I15+'06M'!I15+'07M'!I15+'08M'!I15+'09M'!I15+'10M'!I15+'11M'!I15+'12M'!I15</f>
        <v>0</v>
      </c>
      <c r="J15" s="97">
        <f>'01M'!J15+'13M'!J15+'02M'!J15+'03M'!J15+'04M'!J15+'05M'!J15+'06M'!J15+'07M'!J15+'08M'!J15+'09M'!J15+'10M'!J15+'11M'!J15+'12M'!J15</f>
        <v>0</v>
      </c>
      <c r="K15" s="144">
        <f>'01M'!K15+'13M'!K15+'02M'!K15+'03M'!K15+'04M'!K15+'05M'!K15+'06M'!K15+'07M'!K15+'08M'!K15+'09M'!K15+'10M'!K15+'11M'!K15+'12M'!K15</f>
        <v>0</v>
      </c>
      <c r="L15" s="98"/>
      <c r="M15" s="99">
        <f t="shared" si="0"/>
        <v>0</v>
      </c>
      <c r="N15" s="100">
        <f t="shared" si="1"/>
        <v>0</v>
      </c>
    </row>
    <row r="16" spans="1:14" ht="12.75" customHeight="1">
      <c r="A16" s="95" t="s">
        <v>25</v>
      </c>
      <c r="B16" s="96">
        <v>75</v>
      </c>
      <c r="C16" s="97">
        <f>'01M'!C16+'13M'!C16+'02M'!C16+'03M'!C16+'04M'!C16+'05M'!C16+'06M'!C16+'07M'!C16+'08M'!C16+'09M'!C16+'10M'!C16+'11M'!C16+'12M'!C16</f>
        <v>0</v>
      </c>
      <c r="D16" s="97">
        <f>'01M'!D16+'13M'!D16+'02M'!D16+'03M'!D16+'04M'!D16+'05M'!D16+'06M'!D16+'07M'!D16+'08M'!D16+'09M'!D16+'10M'!D16+'11M'!D16+'12M'!D16</f>
        <v>0</v>
      </c>
      <c r="E16" s="97">
        <f>'01M'!E16+'13M'!E16+'02M'!E16+'03M'!E16+'04M'!E16+'05M'!E16+'06M'!E16+'07M'!E16+'08M'!E16+'09M'!E16+'10M'!E16+'11M'!E16+'12M'!E16</f>
        <v>0</v>
      </c>
      <c r="F16" s="97">
        <f>'01M'!F16+'13M'!F16+'02M'!F16+'03M'!F16+'04M'!F16+'05M'!F16+'06M'!F16+'07M'!F16+'08M'!F16+'09M'!F16+'10M'!F16+'11M'!F16+'12M'!F16</f>
        <v>0</v>
      </c>
      <c r="G16" s="97">
        <f>'01M'!G16+'13M'!G16+'02M'!G16+'03M'!G16+'04M'!G16+'05M'!G16+'06M'!G16+'07M'!G16+'08M'!G16+'09M'!G16+'10M'!G16+'11M'!G16+'12M'!G16</f>
        <v>0</v>
      </c>
      <c r="H16" s="97">
        <f>'01M'!H16+'13M'!H16+'02M'!H16+'03M'!H16+'04M'!H16+'05M'!H16+'06M'!H16+'07M'!H16+'08M'!H16+'09M'!H16+'10M'!H16+'11M'!H16+'12M'!H16</f>
        <v>0</v>
      </c>
      <c r="I16" s="97">
        <f>'01M'!I16+'13M'!I16+'02M'!I16+'03M'!I16+'04M'!I16+'05M'!I16+'06M'!I16+'07M'!I16+'08M'!I16+'09M'!I16+'10M'!I16+'11M'!I16+'12M'!I16</f>
        <v>0</v>
      </c>
      <c r="J16" s="97">
        <f>'01M'!J16+'13M'!J16+'02M'!J16+'03M'!J16+'04M'!J16+'05M'!J16+'06M'!J16+'07M'!J16+'08M'!J16+'09M'!J16+'10M'!J16+'11M'!J16+'12M'!J16</f>
        <v>0</v>
      </c>
      <c r="K16" s="144">
        <f>'01M'!K16+'13M'!K16+'02M'!K16+'03M'!K16+'04M'!K16+'05M'!K16+'06M'!K16+'07M'!K16+'08M'!K16+'09M'!K16+'10M'!K16+'11M'!K16+'12M'!K16</f>
        <v>0</v>
      </c>
      <c r="L16" s="98"/>
      <c r="M16" s="99">
        <f t="shared" si="0"/>
        <v>0</v>
      </c>
      <c r="N16" s="100">
        <f t="shared" si="1"/>
        <v>0</v>
      </c>
    </row>
    <row r="17" spans="1:14" ht="12.75" customHeight="1">
      <c r="A17" s="95" t="s">
        <v>27</v>
      </c>
      <c r="B17" s="96">
        <v>76</v>
      </c>
      <c r="C17" s="97">
        <f>'01M'!C17+'13M'!C17+'02M'!C17+'03M'!C17+'04M'!C17+'05M'!C17+'06M'!C17+'07M'!C17+'08M'!C17+'09M'!C17+'10M'!C17+'11M'!C17+'12M'!C17</f>
        <v>0</v>
      </c>
      <c r="D17" s="97">
        <f>'01M'!D17+'13M'!D17+'02M'!D17+'03M'!D17+'04M'!D17+'05M'!D17+'06M'!D17+'07M'!D17+'08M'!D17+'09M'!D17+'10M'!D17+'11M'!D17+'12M'!D17</f>
        <v>0</v>
      </c>
      <c r="E17" s="97">
        <f>'01M'!E17+'13M'!E17+'02M'!E17+'03M'!E17+'04M'!E17+'05M'!E17+'06M'!E17+'07M'!E17+'08M'!E17+'09M'!E17+'10M'!E17+'11M'!E17+'12M'!E17</f>
        <v>0</v>
      </c>
      <c r="F17" s="97">
        <f>'01M'!F17+'13M'!F17+'02M'!F17+'03M'!F17+'04M'!F17+'05M'!F17+'06M'!F17+'07M'!F17+'08M'!F17+'09M'!F17+'10M'!F17+'11M'!F17+'12M'!F17</f>
        <v>0</v>
      </c>
      <c r="G17" s="97">
        <f>'01M'!G17+'13M'!G17+'02M'!G17+'03M'!G17+'04M'!G17+'05M'!G17+'06M'!G17+'07M'!G17+'08M'!G17+'09M'!G17+'10M'!G17+'11M'!G17+'12M'!G17</f>
        <v>0</v>
      </c>
      <c r="H17" s="97">
        <f>'01M'!H17+'13M'!H17+'02M'!H17+'03M'!H17+'04M'!H17+'05M'!H17+'06M'!H17+'07M'!H17+'08M'!H17+'09M'!H17+'10M'!H17+'11M'!H17+'12M'!H17</f>
        <v>0</v>
      </c>
      <c r="I17" s="97">
        <f>'01M'!I17+'13M'!I17+'02M'!I17+'03M'!I17+'04M'!I17+'05M'!I17+'06M'!I17+'07M'!I17+'08M'!I17+'09M'!I17+'10M'!I17+'11M'!I17+'12M'!I17</f>
        <v>0</v>
      </c>
      <c r="J17" s="97">
        <f>'01M'!J17+'13M'!J17+'02M'!J17+'03M'!J17+'04M'!J17+'05M'!J17+'06M'!J17+'07M'!J17+'08M'!J17+'09M'!J17+'10M'!J17+'11M'!J17+'12M'!J17</f>
        <v>0</v>
      </c>
      <c r="K17" s="144">
        <f>'01M'!K17+'13M'!K17+'02M'!K17+'03M'!K17+'04M'!K17+'05M'!K17+'06M'!K17+'07M'!K17+'08M'!K17+'09M'!K17+'10M'!K17+'11M'!K17+'12M'!K17</f>
        <v>0</v>
      </c>
      <c r="L17" s="98"/>
      <c r="M17" s="99">
        <f t="shared" si="0"/>
        <v>0</v>
      </c>
      <c r="N17" s="100">
        <f t="shared" si="1"/>
        <v>0</v>
      </c>
    </row>
    <row r="18" spans="1:14" ht="12.75" customHeight="1">
      <c r="A18" s="95" t="s">
        <v>28</v>
      </c>
      <c r="B18" s="96">
        <v>77</v>
      </c>
      <c r="C18" s="97">
        <f>'01M'!C18+'13M'!C18+'02M'!C18+'03M'!C18+'04M'!C18+'05M'!C18+'06M'!C18+'07M'!C18+'08M'!C18+'09M'!C18+'10M'!C18+'11M'!C18+'12M'!C18</f>
        <v>0</v>
      </c>
      <c r="D18" s="97">
        <f>'01M'!D18+'13M'!D18+'02M'!D18+'03M'!D18+'04M'!D18+'05M'!D18+'06M'!D18+'07M'!D18+'08M'!D18+'09M'!D18+'10M'!D18+'11M'!D18+'12M'!D18</f>
        <v>0</v>
      </c>
      <c r="E18" s="97">
        <f>'01M'!E18+'13M'!E18+'02M'!E18+'03M'!E18+'04M'!E18+'05M'!E18+'06M'!E18+'07M'!E18+'08M'!E18+'09M'!E18+'10M'!E18+'11M'!E18+'12M'!E18</f>
        <v>0</v>
      </c>
      <c r="F18" s="97">
        <f>'01M'!F18+'13M'!F18+'02M'!F18+'03M'!F18+'04M'!F18+'05M'!F18+'06M'!F18+'07M'!F18+'08M'!F18+'09M'!F18+'10M'!F18+'11M'!F18+'12M'!F18</f>
        <v>0</v>
      </c>
      <c r="G18" s="97">
        <f>'01M'!G18+'13M'!G18+'02M'!G18+'03M'!G18+'04M'!G18+'05M'!G18+'06M'!G18+'07M'!G18+'08M'!G18+'09M'!G18+'10M'!G18+'11M'!G18+'12M'!G18</f>
        <v>0</v>
      </c>
      <c r="H18" s="97">
        <f>'01M'!H18+'13M'!H18+'02M'!H18+'03M'!H18+'04M'!H18+'05M'!H18+'06M'!H18+'07M'!H18+'08M'!H18+'09M'!H18+'10M'!H18+'11M'!H18+'12M'!H18</f>
        <v>0</v>
      </c>
      <c r="I18" s="97">
        <f>'01M'!I18+'13M'!I18+'02M'!I18+'03M'!I18+'04M'!I18+'05M'!I18+'06M'!I18+'07M'!I18+'08M'!I18+'09M'!I18+'10M'!I18+'11M'!I18+'12M'!I18</f>
        <v>0</v>
      </c>
      <c r="J18" s="97">
        <f>'01M'!J18+'13M'!J18+'02M'!J18+'03M'!J18+'04M'!J18+'05M'!J18+'06M'!J18+'07M'!J18+'08M'!J18+'09M'!J18+'10M'!J18+'11M'!J18+'12M'!J18</f>
        <v>0</v>
      </c>
      <c r="K18" s="144">
        <f>'01M'!K18+'13M'!K18+'02M'!K18+'03M'!K18+'04M'!K18+'05M'!K18+'06M'!K18+'07M'!K18+'08M'!K18+'09M'!K18+'10M'!K18+'11M'!K18+'12M'!K18</f>
        <v>0</v>
      </c>
      <c r="L18" s="98"/>
      <c r="M18" s="99">
        <f t="shared" si="0"/>
        <v>0</v>
      </c>
      <c r="N18" s="100">
        <f t="shared" si="1"/>
        <v>0</v>
      </c>
    </row>
    <row r="19" spans="1:14" ht="12.75" customHeight="1">
      <c r="A19" s="95" t="s">
        <v>29</v>
      </c>
      <c r="B19" s="96">
        <v>78</v>
      </c>
      <c r="C19" s="97">
        <f>'01M'!C19+'13M'!C19+'02M'!C19+'03M'!C19+'04M'!C19+'05M'!C19+'06M'!C19+'07M'!C19+'08M'!C19+'09M'!C19+'10M'!C19+'11M'!C19+'12M'!C19</f>
        <v>0</v>
      </c>
      <c r="D19" s="97">
        <f>'01M'!D19+'13M'!D19+'02M'!D19+'03M'!D19+'04M'!D19+'05M'!D19+'06M'!D19+'07M'!D19+'08M'!D19+'09M'!D19+'10M'!D19+'11M'!D19+'12M'!D19</f>
        <v>0</v>
      </c>
      <c r="E19" s="97">
        <f>'01M'!E19+'13M'!E19+'02M'!E19+'03M'!E19+'04M'!E19+'05M'!E19+'06M'!E19+'07M'!E19+'08M'!E19+'09M'!E19+'10M'!E19+'11M'!E19+'12M'!E19</f>
        <v>0</v>
      </c>
      <c r="F19" s="97">
        <f>'01M'!F19+'13M'!F19+'02M'!F19+'03M'!F19+'04M'!F19+'05M'!F19+'06M'!F19+'07M'!F19+'08M'!F19+'09M'!F19+'10M'!F19+'11M'!F19+'12M'!F19</f>
        <v>0</v>
      </c>
      <c r="G19" s="97">
        <f>'01M'!G19+'13M'!G19+'02M'!G19+'03M'!G19+'04M'!G19+'05M'!G19+'06M'!G19+'07M'!G19+'08M'!G19+'09M'!G19+'10M'!G19+'11M'!G19+'12M'!G19</f>
        <v>0</v>
      </c>
      <c r="H19" s="97">
        <f>'01M'!H19+'13M'!H19+'02M'!H19+'03M'!H19+'04M'!H19+'05M'!H19+'06M'!H19+'07M'!H19+'08M'!H19+'09M'!H19+'10M'!H19+'11M'!H19+'12M'!H19</f>
        <v>0</v>
      </c>
      <c r="I19" s="97">
        <f>'01M'!I19+'13M'!I19+'02M'!I19+'03M'!I19+'04M'!I19+'05M'!I19+'06M'!I19+'07M'!I19+'08M'!I19+'09M'!I19+'10M'!I19+'11M'!I19+'12M'!I19</f>
        <v>0</v>
      </c>
      <c r="J19" s="97">
        <f>'01M'!J19+'13M'!J19+'02M'!J19+'03M'!J19+'04M'!J19+'05M'!J19+'06M'!J19+'07M'!J19+'08M'!J19+'09M'!J19+'10M'!J19+'11M'!J19+'12M'!J19</f>
        <v>0</v>
      </c>
      <c r="K19" s="144">
        <f>'01M'!K19+'13M'!K19+'02M'!K19+'03M'!K19+'04M'!K19+'05M'!K19+'06M'!K19+'07M'!K19+'08M'!K19+'09M'!K19+'10M'!K19+'11M'!K19+'12M'!K19</f>
        <v>0</v>
      </c>
      <c r="L19" s="98"/>
      <c r="M19" s="99">
        <f t="shared" si="0"/>
        <v>0</v>
      </c>
      <c r="N19" s="100">
        <f t="shared" si="1"/>
        <v>0</v>
      </c>
    </row>
    <row r="20" spans="1:14" ht="12.75" customHeight="1">
      <c r="A20" s="95" t="s">
        <v>30</v>
      </c>
      <c r="B20" s="96">
        <v>79</v>
      </c>
      <c r="C20" s="97">
        <f>'01M'!C20+'13M'!C20+'02M'!C20+'03M'!C20+'04M'!C20+'05M'!C20+'06M'!C20+'07M'!C20+'08M'!C20+'09M'!C20+'10M'!C20+'11M'!C20+'12M'!C20</f>
        <v>0</v>
      </c>
      <c r="D20" s="97">
        <f>'01M'!D20+'13M'!D20+'02M'!D20+'03M'!D20+'04M'!D20+'05M'!D20+'06M'!D20+'07M'!D20+'08M'!D20+'09M'!D20+'10M'!D20+'11M'!D20+'12M'!D20</f>
        <v>0</v>
      </c>
      <c r="E20" s="97">
        <f>'01M'!E20+'13M'!E20+'02M'!E20+'03M'!E20+'04M'!E20+'05M'!E20+'06M'!E20+'07M'!E20+'08M'!E20+'09M'!E20+'10M'!E20+'11M'!E20+'12M'!E20</f>
        <v>0</v>
      </c>
      <c r="F20" s="97">
        <f>'01M'!F20+'13M'!F20+'02M'!F20+'03M'!F20+'04M'!F20+'05M'!F20+'06M'!F20+'07M'!F20+'08M'!F20+'09M'!F20+'10M'!F20+'11M'!F20+'12M'!F20</f>
        <v>0</v>
      </c>
      <c r="G20" s="97">
        <f>'01M'!G20+'13M'!G20+'02M'!G20+'03M'!G20+'04M'!G20+'05M'!G20+'06M'!G20+'07M'!G20+'08M'!G20+'09M'!G20+'10M'!G20+'11M'!G20+'12M'!G20</f>
        <v>0</v>
      </c>
      <c r="H20" s="97">
        <f>'01M'!H20+'13M'!H20+'02M'!H20+'03M'!H20+'04M'!H20+'05M'!H20+'06M'!H20+'07M'!H20+'08M'!H20+'09M'!H20+'10M'!H20+'11M'!H20+'12M'!H20</f>
        <v>0</v>
      </c>
      <c r="I20" s="97">
        <f>'01M'!I20+'13M'!I20+'02M'!I20+'03M'!I20+'04M'!I20+'05M'!I20+'06M'!I20+'07M'!I20+'08M'!I20+'09M'!I20+'10M'!I20+'11M'!I20+'12M'!I20</f>
        <v>0</v>
      </c>
      <c r="J20" s="97">
        <f>'01M'!J20+'13M'!J20+'02M'!J20+'03M'!J20+'04M'!J20+'05M'!J20+'06M'!J20+'07M'!J20+'08M'!J20+'09M'!J20+'10M'!J20+'11M'!J20+'12M'!J20</f>
        <v>0</v>
      </c>
      <c r="K20" s="144">
        <f>'01M'!K20+'13M'!K20+'02M'!K20+'03M'!K20+'04M'!K20+'05M'!K20+'06M'!K20+'07M'!K20+'08M'!K20+'09M'!K20+'10M'!K20+'11M'!K20+'12M'!K20</f>
        <v>0</v>
      </c>
      <c r="L20" s="98"/>
      <c r="M20" s="99">
        <f t="shared" si="0"/>
        <v>0</v>
      </c>
      <c r="N20" s="100">
        <f t="shared" si="1"/>
        <v>0</v>
      </c>
    </row>
    <row r="21" spans="1:14" ht="12.75" customHeight="1">
      <c r="A21" s="95" t="s">
        <v>31</v>
      </c>
      <c r="B21" s="96">
        <v>80</v>
      </c>
      <c r="C21" s="97">
        <f>'01M'!C21+'13M'!C21+'02M'!C21+'03M'!C21+'04M'!C21+'05M'!C21+'06M'!C21+'07M'!C21+'08M'!C21+'09M'!C21+'10M'!C21+'11M'!C21+'12M'!C21</f>
        <v>0</v>
      </c>
      <c r="D21" s="97">
        <f>'01M'!D21+'13M'!D21+'02M'!D21+'03M'!D21+'04M'!D21+'05M'!D21+'06M'!D21+'07M'!D21+'08M'!D21+'09M'!D21+'10M'!D21+'11M'!D21+'12M'!D21</f>
        <v>0</v>
      </c>
      <c r="E21" s="97">
        <f>'01M'!E21+'13M'!E21+'02M'!E21+'03M'!E21+'04M'!E21+'05M'!E21+'06M'!E21+'07M'!E21+'08M'!E21+'09M'!E21+'10M'!E21+'11M'!E21+'12M'!E21</f>
        <v>0</v>
      </c>
      <c r="F21" s="97">
        <f>'01M'!F21+'13M'!F21+'02M'!F21+'03M'!F21+'04M'!F21+'05M'!F21+'06M'!F21+'07M'!F21+'08M'!F21+'09M'!F21+'10M'!F21+'11M'!F21+'12M'!F21</f>
        <v>0</v>
      </c>
      <c r="G21" s="97">
        <f>'01M'!G21+'13M'!G21+'02M'!G21+'03M'!G21+'04M'!G21+'05M'!G21+'06M'!G21+'07M'!G21+'08M'!G21+'09M'!G21+'10M'!G21+'11M'!G21+'12M'!G21</f>
        <v>0</v>
      </c>
      <c r="H21" s="97">
        <f>'01M'!H21+'13M'!H21+'02M'!H21+'03M'!H21+'04M'!H21+'05M'!H21+'06M'!H21+'07M'!H21+'08M'!H21+'09M'!H21+'10M'!H21+'11M'!H21+'12M'!H21</f>
        <v>0</v>
      </c>
      <c r="I21" s="97">
        <f>'01M'!I21+'13M'!I21+'02M'!I21+'03M'!I21+'04M'!I21+'05M'!I21+'06M'!I21+'07M'!I21+'08M'!I21+'09M'!I21+'10M'!I21+'11M'!I21+'12M'!I21</f>
        <v>0</v>
      </c>
      <c r="J21" s="97">
        <f>'01M'!J21+'13M'!J21+'02M'!J21+'03M'!J21+'04M'!J21+'05M'!J21+'06M'!J21+'07M'!J21+'08M'!J21+'09M'!J21+'10M'!J21+'11M'!J21+'12M'!J21</f>
        <v>0</v>
      </c>
      <c r="K21" s="144">
        <f>'01M'!K21+'13M'!K21+'02M'!K21+'03M'!K21+'04M'!K21+'05M'!K21+'06M'!K21+'07M'!K21+'08M'!K21+'09M'!K21+'10M'!K21+'11M'!K21+'12M'!K21</f>
        <v>0</v>
      </c>
      <c r="L21" s="98"/>
      <c r="M21" s="99">
        <f t="shared" si="0"/>
        <v>0</v>
      </c>
      <c r="N21" s="100">
        <f t="shared" si="1"/>
        <v>0</v>
      </c>
    </row>
    <row r="22" spans="1:19" s="102" customFormat="1" ht="12.75" customHeight="1">
      <c r="A22" s="95" t="s">
        <v>38</v>
      </c>
      <c r="B22" s="96">
        <v>81</v>
      </c>
      <c r="C22" s="97">
        <f>'01M'!C22+'13M'!C22+'02M'!C22+'03M'!C22+'04M'!C22+'05M'!C22+'06M'!C22+'07M'!C22+'08M'!C22+'09M'!C22+'10M'!C22+'11M'!C22+'12M'!C22</f>
        <v>952232</v>
      </c>
      <c r="D22" s="97">
        <f>'01M'!D22+'13M'!D22+'02M'!D22+'03M'!D22+'04M'!D22+'05M'!D22+'06M'!D22+'07M'!D22+'08M'!D22+'09M'!D22+'10M'!D22+'11M'!D22+'12M'!D22</f>
        <v>0</v>
      </c>
      <c r="E22" s="97">
        <f>'01M'!E22+'13M'!E22+'02M'!E22+'03M'!E22+'04M'!E22+'05M'!E22+'06M'!E22+'07M'!E22+'08M'!E22+'09M'!E22+'10M'!E22+'11M'!E22+'12M'!E22</f>
        <v>98003</v>
      </c>
      <c r="F22" s="97">
        <f>'01M'!F22+'13M'!F22+'02M'!F22+'03M'!F22+'04M'!F22+'05M'!F22+'06M'!F22+'07M'!F22+'08M'!F22+'09M'!F22+'10M'!F22+'11M'!F22+'12M'!F22</f>
        <v>56940</v>
      </c>
      <c r="G22" s="97">
        <f>'01M'!G22+'13M'!G22+'02M'!G22+'03M'!G22+'04M'!G22+'05M'!G22+'06M'!G22+'07M'!G22+'08M'!G22+'09M'!G22+'10M'!G22+'11M'!G22+'12M'!G22</f>
        <v>0</v>
      </c>
      <c r="H22" s="97">
        <f>'01M'!H22+'13M'!H22+'02M'!H22+'03M'!H22+'04M'!H22+'05M'!H22+'06M'!H22+'07M'!H22+'08M'!H22+'09M'!H22+'10M'!H22+'11M'!H22+'12M'!H22</f>
        <v>0</v>
      </c>
      <c r="I22" s="97">
        <f>'01M'!I22+'13M'!I22+'02M'!I22+'03M'!I22+'04M'!I22+'05M'!I22+'06M'!I22+'07M'!I22+'08M'!I22+'09M'!I22+'10M'!I22+'11M'!I22+'12M'!I22</f>
        <v>0</v>
      </c>
      <c r="J22" s="97">
        <f>'01M'!J22+'13M'!J22+'02M'!J22+'03M'!J22+'04M'!J22+'05M'!J22+'06M'!J22+'07M'!J22+'08M'!J22+'09M'!J22+'10M'!J22+'11M'!J22+'12M'!J22</f>
        <v>1107175</v>
      </c>
      <c r="K22" s="144">
        <f>'01M'!K22+'13M'!K22+'02M'!K22+'03M'!K22+'04M'!K22+'05M'!K22+'06M'!K22+'07M'!K22+'08M'!K22+'09M'!K22+'10M'!K22+'11M'!K22+'12M'!K22</f>
        <v>0</v>
      </c>
      <c r="L22" s="98">
        <v>1813450</v>
      </c>
      <c r="M22" s="99">
        <f>IF(L22=0,L22,I22/L22)</f>
        <v>0</v>
      </c>
      <c r="N22" s="100">
        <f t="shared" si="1"/>
        <v>0</v>
      </c>
      <c r="O22" s="65"/>
      <c r="P22" s="65"/>
      <c r="Q22" s="65"/>
      <c r="R22" s="65"/>
      <c r="S22" s="65"/>
    </row>
    <row r="23" spans="1:14" ht="12.75">
      <c r="A23" s="95" t="s">
        <v>39</v>
      </c>
      <c r="B23" s="96">
        <v>82</v>
      </c>
      <c r="C23" s="97">
        <f>'01M'!C23+'13M'!C23+'02M'!C23+'03M'!C23+'04M'!C23+'05M'!C23+'06M'!C23+'07M'!C23+'08M'!C23+'09M'!C23+'10M'!C23+'11M'!C23+'12M'!C23</f>
        <v>251885</v>
      </c>
      <c r="D23" s="97">
        <f>'01M'!D23+'13M'!D23+'02M'!D23+'03M'!D23+'04M'!D23+'05M'!D23+'06M'!D23+'07M'!D23+'08M'!D23+'09M'!D23+'10M'!D23+'11M'!D23+'12M'!D23</f>
        <v>0</v>
      </c>
      <c r="E23" s="97">
        <f>'01M'!E23+'13M'!E23+'02M'!E23+'03M'!E23+'04M'!E23+'05M'!E23+'06M'!E23+'07M'!E23+'08M'!E23+'09M'!E23+'10M'!E23+'11M'!E23+'12M'!E23</f>
        <v>25724</v>
      </c>
      <c r="F23" s="97">
        <f>'01M'!F23+'13M'!F23+'02M'!F23+'03M'!F23+'04M'!F23+'05M'!F23+'06M'!F23+'07M'!F23+'08M'!F23+'09M'!F23+'10M'!F23+'11M'!F23+'12M'!F23</f>
        <v>13650</v>
      </c>
      <c r="G23" s="97">
        <f>'01M'!G23+'13M'!G23+'02M'!G23+'03M'!G23+'04M'!G23+'05M'!G23+'06M'!G23+'07M'!G23+'08M'!G23+'09M'!G23+'10M'!G23+'11M'!G23+'12M'!G23</f>
        <v>0</v>
      </c>
      <c r="H23" s="97">
        <f>'01M'!H23+'13M'!H23+'02M'!H23+'03M'!H23+'04M'!H23+'05M'!H23+'06M'!H23+'07M'!H23+'08M'!H23+'09M'!H23+'10M'!H23+'11M'!H23+'12M'!H23</f>
        <v>0</v>
      </c>
      <c r="I23" s="97">
        <f>'01M'!I23+'13M'!I23+'02M'!I23+'03M'!I23+'04M'!I23+'05M'!I23+'06M'!I23+'07M'!I23+'08M'!I23+'09M'!I23+'10M'!I23+'11M'!I23+'12M'!I23</f>
        <v>0</v>
      </c>
      <c r="J23" s="97">
        <f>'01M'!J23+'13M'!J23+'02M'!J23+'03M'!J23+'04M'!J23+'05M'!J23+'06M'!J23+'07M'!J23+'08M'!J23+'09M'!J23+'10M'!J23+'11M'!J23+'12M'!J23</f>
        <v>291259</v>
      </c>
      <c r="K23" s="144">
        <f>'01M'!K23+'13M'!K23+'02M'!K23+'03M'!K23+'04M'!K23+'05M'!K23+'06M'!K23+'07M'!K23+'08M'!K23+'09M'!K23+'10M'!K23+'11M'!K23+'12M'!K23</f>
        <v>0</v>
      </c>
      <c r="L23" s="98">
        <v>477055</v>
      </c>
      <c r="M23" s="99">
        <f t="shared" si="0"/>
        <v>0</v>
      </c>
      <c r="N23" s="100">
        <f t="shared" si="1"/>
        <v>0</v>
      </c>
    </row>
    <row r="24" spans="1:14" ht="12.75">
      <c r="A24" s="95" t="s">
        <v>32</v>
      </c>
      <c r="B24" s="96">
        <v>83</v>
      </c>
      <c r="C24" s="97">
        <f>'01M'!C24+'13M'!C24+'02M'!C24+'03M'!C24+'04M'!C24+'05M'!C24+'06M'!C24+'07M'!C24+'08M'!C24+'09M'!C24+'10M'!C24+'11M'!C24+'12M'!C24</f>
        <v>1465016</v>
      </c>
      <c r="D24" s="97">
        <f>'01M'!D24+'13M'!D24+'02M'!D24+'03M'!D24+'04M'!D24+'05M'!D24+'06M'!D24+'07M'!D24+'08M'!D24+'09M'!D24+'10M'!D24+'11M'!D24+'12M'!D24</f>
        <v>0</v>
      </c>
      <c r="E24" s="97">
        <f>'01M'!E24+'13M'!E24+'02M'!E24+'03M'!E24+'04M'!E24+'05M'!E24+'06M'!E24+'07M'!E24+'08M'!E24+'09M'!E24+'10M'!E24+'11M'!E24+'12M'!E24</f>
        <v>151536</v>
      </c>
      <c r="F24" s="97">
        <f>'01M'!F24+'13M'!F24+'02M'!F24+'03M'!F24+'04M'!F24+'05M'!F24+'06M'!F24+'07M'!F24+'08M'!F24+'09M'!F24+'10M'!F24+'11M'!F24+'12M'!F24</f>
        <v>64610</v>
      </c>
      <c r="G24" s="97">
        <f>'01M'!G24+'13M'!G24+'02M'!G24+'03M'!G24+'04M'!G24+'05M'!G24+'06M'!G24+'07M'!G24+'08M'!G24+'09M'!G24+'10M'!G24+'11M'!G24+'12M'!G24</f>
        <v>0</v>
      </c>
      <c r="H24" s="97">
        <f>'01M'!H24+'13M'!H24+'02M'!H24+'03M'!H24+'04M'!H24+'05M'!H24+'06M'!H24+'07M'!H24+'08M'!H24+'09M'!H24+'10M'!H24+'11M'!H24+'12M'!H24</f>
        <v>0</v>
      </c>
      <c r="I24" s="97">
        <f>'01M'!I24+'13M'!I24+'02M'!I24+'03M'!I24+'04M'!I24+'05M'!I24+'06M'!I24+'07M'!I24+'08M'!I24+'09M'!I24+'10M'!I24+'11M'!I24+'12M'!I24</f>
        <v>0</v>
      </c>
      <c r="J24" s="97">
        <f>'01M'!J24+'13M'!J24+'02M'!J24+'03M'!J24+'04M'!J24+'05M'!J24+'06M'!J24+'07M'!J24+'08M'!J24+'09M'!J24+'10M'!J24+'11M'!J24+'12M'!J24</f>
        <v>1681162</v>
      </c>
      <c r="K24" s="144">
        <f>'01M'!K24+'13M'!K24+'02M'!K24+'03M'!K24+'04M'!K24+'05M'!K24+'06M'!K24+'07M'!K24+'08M'!K24+'09M'!K24+'10M'!K24+'11M'!K24+'12M'!K24</f>
        <v>0</v>
      </c>
      <c r="L24" s="98">
        <v>2753587</v>
      </c>
      <c r="M24" s="99">
        <f t="shared" si="0"/>
        <v>0</v>
      </c>
      <c r="N24" s="100">
        <f t="shared" si="1"/>
        <v>0</v>
      </c>
    </row>
    <row r="25" spans="1:14" ht="12.75">
      <c r="A25" s="95" t="s">
        <v>33</v>
      </c>
      <c r="B25" s="96">
        <v>84</v>
      </c>
      <c r="C25" s="97">
        <f>'01M'!C25+'13M'!C25+'02M'!C25+'03M'!C25+'04M'!C25+'05M'!C25+'06M'!C25+'07M'!C25+'08M'!C25+'09M'!C25+'10M'!C25+'11M'!C25+'12M'!C25</f>
        <v>12685699</v>
      </c>
      <c r="D25" s="97">
        <f>'01M'!D25+'13M'!D25+'02M'!D25+'03M'!D25+'04M'!D25+'05M'!D25+'06M'!D25+'07M'!D25+'08M'!D25+'09M'!D25+'10M'!D25+'11M'!D25+'12M'!D25</f>
        <v>0</v>
      </c>
      <c r="E25" s="97">
        <f>'01M'!E25+'13M'!E25+'02M'!E25+'03M'!E25+'04M'!E25+'05M'!E25+'06M'!E25+'07M'!E25+'08M'!E25+'09M'!E25+'10M'!E25+'11M'!E25+'12M'!E25</f>
        <v>1282781</v>
      </c>
      <c r="F25" s="97">
        <f>'01M'!F25+'13M'!F25+'02M'!F25+'03M'!F25+'04M'!F25+'05M'!F25+'06M'!F25+'07M'!F25+'08M'!F25+'09M'!F25+'10M'!F25+'11M'!F25+'12M'!F25</f>
        <v>539370</v>
      </c>
      <c r="G25" s="97">
        <f>'01M'!G25+'13M'!G25+'02M'!G25+'03M'!G25+'04M'!G25+'05M'!G25+'06M'!G25+'07M'!G25+'08M'!G25+'09M'!G25+'10M'!G25+'11M'!G25+'12M'!G25</f>
        <v>0</v>
      </c>
      <c r="H25" s="97">
        <f>'01M'!H25+'13M'!H25+'02M'!H25+'03M'!H25+'04M'!H25+'05M'!H25+'06M'!H25+'07M'!H25+'08M'!H25+'09M'!H25+'10M'!H25+'11M'!H25+'12M'!H25</f>
        <v>0</v>
      </c>
      <c r="I25" s="97">
        <f>'01M'!I25+'13M'!I25+'02M'!I25+'03M'!I25+'04M'!I25+'05M'!I25+'06M'!I25+'07M'!I25+'08M'!I25+'09M'!I25+'10M'!I25+'11M'!I25+'12M'!I25</f>
        <v>0</v>
      </c>
      <c r="J25" s="97">
        <f>'01M'!J25+'13M'!J25+'02M'!J25+'03M'!J25+'04M'!J25+'05M'!J25+'06M'!J25+'07M'!J25+'08M'!J25+'09M'!J25+'10M'!J25+'11M'!J25+'12M'!J25</f>
        <v>14507850</v>
      </c>
      <c r="K25" s="144">
        <f>'01M'!K25+'13M'!K25+'02M'!K25+'03M'!K25+'04M'!K25+'05M'!K25+'06M'!K25+'07M'!K25+'08M'!K25+'09M'!K25+'10M'!K25+'11M'!K25+'12M'!K25</f>
        <v>0</v>
      </c>
      <c r="L25" s="98">
        <v>23762508</v>
      </c>
      <c r="M25" s="99">
        <f t="shared" si="0"/>
        <v>0</v>
      </c>
      <c r="N25" s="100">
        <f t="shared" si="1"/>
        <v>0</v>
      </c>
    </row>
    <row r="26" spans="1:14" ht="12.75">
      <c r="A26" s="95" t="s">
        <v>34</v>
      </c>
      <c r="B26" s="96">
        <v>85</v>
      </c>
      <c r="C26" s="97">
        <f>'01M'!C26+'13M'!C26+'02M'!C26+'03M'!C26+'04M'!C26+'05M'!C26+'06M'!C26+'07M'!C26+'08M'!C26+'09M'!C26+'10M'!C26+'11M'!C26+'12M'!C26</f>
        <v>1440382</v>
      </c>
      <c r="D26" s="97">
        <f>'01M'!D26+'13M'!D26+'02M'!D26+'03M'!D26+'04M'!D26+'05M'!D26+'06M'!D26+'07M'!D26+'08M'!D26+'09M'!D26+'10M'!D26+'11M'!D26+'12M'!D26</f>
        <v>0</v>
      </c>
      <c r="E26" s="97">
        <f>'01M'!E26+'13M'!E26+'02M'!E26+'03M'!E26+'04M'!E26+'05M'!E26+'06M'!E26+'07M'!E26+'08M'!E26+'09M'!E26+'10M'!E26+'11M'!E26+'12M'!E26</f>
        <v>144621</v>
      </c>
      <c r="F26" s="97">
        <f>'01M'!F26+'13M'!F26+'02M'!F26+'03M'!F26+'04M'!F26+'05M'!F26+'06M'!F26+'07M'!F26+'08M'!F26+'09M'!F26+'10M'!F26+'11M'!F26+'12M'!F26</f>
        <v>37700</v>
      </c>
      <c r="G26" s="97">
        <f>'01M'!G26+'13M'!G26+'02M'!G26+'03M'!G26+'04M'!G26+'05M'!G26+'06M'!G26+'07M'!G26+'08M'!G26+'09M'!G26+'10M'!G26+'11M'!G26+'12M'!G26</f>
        <v>0</v>
      </c>
      <c r="H26" s="97">
        <f>'01M'!H26+'13M'!H26+'02M'!H26+'03M'!H26+'04M'!H26+'05M'!H26+'06M'!H26+'07M'!H26+'08M'!H26+'09M'!H26+'10M'!H26+'11M'!H26+'12M'!H26</f>
        <v>0</v>
      </c>
      <c r="I26" s="97">
        <f>'01M'!I26+'13M'!I26+'02M'!I26+'03M'!I26+'04M'!I26+'05M'!I26+'06M'!I26+'07M'!I26+'08M'!I26+'09M'!I26+'10M'!I26+'11M'!I26+'12M'!I26</f>
        <v>0</v>
      </c>
      <c r="J26" s="97">
        <f>'01M'!J26+'13M'!J26+'02M'!J26+'03M'!J26+'04M'!J26+'05M'!J26+'06M'!J26+'07M'!J26+'08M'!J26+'09M'!J26+'10M'!J26+'11M'!J26+'12M'!J26</f>
        <v>1622703</v>
      </c>
      <c r="K26" s="144">
        <f>'01M'!K26+'13M'!K26+'02M'!K26+'03M'!K26+'04M'!K26+'05M'!K26+'06M'!K26+'07M'!K26+'08M'!K26+'09M'!K26+'10M'!K26+'11M'!K26+'12M'!K26</f>
        <v>0</v>
      </c>
      <c r="L26" s="98">
        <v>2657837</v>
      </c>
      <c r="M26" s="99">
        <f t="shared" si="0"/>
        <v>0</v>
      </c>
      <c r="N26" s="100">
        <f t="shared" si="1"/>
        <v>0</v>
      </c>
    </row>
    <row r="27" spans="1:14" ht="12.75">
      <c r="A27" s="95" t="s">
        <v>35</v>
      </c>
      <c r="B27" s="96">
        <v>86</v>
      </c>
      <c r="C27" s="97">
        <f>'01M'!C27+'13M'!C27+'02M'!C27+'03M'!C27+'04M'!C27+'05M'!C27+'06M'!C27+'07M'!C27+'08M'!C27+'09M'!C27+'10M'!C27+'11M'!C27+'12M'!C27</f>
        <v>3452161</v>
      </c>
      <c r="D27" s="97">
        <f>'01M'!D27+'13M'!D27+'02M'!D27+'03M'!D27+'04M'!D27+'05M'!D27+'06M'!D27+'07M'!D27+'08M'!D27+'09M'!D27+'10M'!D27+'11M'!D27+'12M'!D27</f>
        <v>0</v>
      </c>
      <c r="E27" s="97">
        <f>'01M'!E27+'13M'!E27+'02M'!E27+'03M'!E27+'04M'!E27+'05M'!E27+'06M'!E27+'07M'!E27+'08M'!E27+'09M'!E27+'10M'!E27+'11M'!E27+'12M'!E27</f>
        <v>334633</v>
      </c>
      <c r="F27" s="97">
        <f>'01M'!F27+'13M'!F27+'02M'!F27+'03M'!F27+'04M'!F27+'05M'!F27+'06M'!F27+'07M'!F27+'08M'!F27+'09M'!F27+'10M'!F27+'11M'!F27+'12M'!F27</f>
        <v>81705</v>
      </c>
      <c r="G27" s="97">
        <f>'01M'!G27+'13M'!G27+'02M'!G27+'03M'!G27+'04M'!G27+'05M'!G27+'06M'!G27+'07M'!G27+'08M'!G27+'09M'!G27+'10M'!G27+'11M'!G27+'12M'!G27</f>
        <v>0</v>
      </c>
      <c r="H27" s="97">
        <f>'01M'!H27+'13M'!H27+'02M'!H27+'03M'!H27+'04M'!H27+'05M'!H27+'06M'!H27+'07M'!H27+'08M'!H27+'09M'!H27+'10M'!H27+'11M'!H27+'12M'!H27</f>
        <v>0</v>
      </c>
      <c r="I27" s="97">
        <f>'01M'!I27+'13M'!I27+'02M'!I27+'03M'!I27+'04M'!I27+'05M'!I27+'06M'!I27+'07M'!I27+'08M'!I27+'09M'!I27+'10M'!I27+'11M'!I27+'12M'!I27</f>
        <v>0</v>
      </c>
      <c r="J27" s="97">
        <f>'01M'!J27+'13M'!J27+'02M'!J27+'03M'!J27+'04M'!J27+'05M'!J27+'06M'!J27+'07M'!J27+'08M'!J27+'09M'!J27+'10M'!J27+'11M'!J27+'12M'!J27</f>
        <v>3868499</v>
      </c>
      <c r="K27" s="144">
        <f>'01M'!K27+'13M'!K27+'02M'!K27+'03M'!K27+'04M'!K27+'05M'!K27+'06M'!K27+'07M'!K27+'08M'!K27+'09M'!K27+'10M'!K27+'11M'!K27+'12M'!K27</f>
        <v>0</v>
      </c>
      <c r="L27" s="98">
        <v>6336242</v>
      </c>
      <c r="M27" s="99">
        <f t="shared" si="0"/>
        <v>0</v>
      </c>
      <c r="N27" s="100">
        <f t="shared" si="1"/>
        <v>0</v>
      </c>
    </row>
    <row r="28" spans="1:14" ht="12.75">
      <c r="A28" s="95" t="s">
        <v>36</v>
      </c>
      <c r="B28" s="96">
        <v>87</v>
      </c>
      <c r="C28" s="97">
        <f>'01M'!C28+'13M'!C28+'02M'!C28+'03M'!C28+'04M'!C28+'05M'!C28+'06M'!C28+'07M'!C28+'08M'!C28+'09M'!C28+'10M'!C28+'11M'!C28+'12M'!C28</f>
        <v>1051067</v>
      </c>
      <c r="D28" s="97">
        <f>'01M'!D28+'13M'!D28+'02M'!D28+'03M'!D28+'04M'!D28+'05M'!D28+'06M'!D28+'07M'!D28+'08M'!D28+'09M'!D28+'10M'!D28+'11M'!D28+'12M'!D28</f>
        <v>0</v>
      </c>
      <c r="E28" s="97">
        <f>'01M'!E28+'13M'!E28+'02M'!E28+'03M'!E28+'04M'!E28+'05M'!E28+'06M'!E28+'07M'!E28+'08M'!E28+'09M'!E28+'10M'!E28+'11M'!E28+'12M'!E28</f>
        <v>108056</v>
      </c>
      <c r="F28" s="97">
        <f>'01M'!F28+'13M'!F28+'02M'!F28+'03M'!F28+'04M'!F28+'05M'!F28+'06M'!F28+'07M'!F28+'08M'!F28+'09M'!F28+'10M'!F28+'11M'!F28+'12M'!F28</f>
        <v>22490</v>
      </c>
      <c r="G28" s="97">
        <f>'01M'!G28+'13M'!G28+'02M'!G28+'03M'!G28+'04M'!G28+'05M'!G28+'06M'!G28+'07M'!G28+'08M'!G28+'09M'!G28+'10M'!G28+'11M'!G28+'12M'!G28</f>
        <v>0</v>
      </c>
      <c r="H28" s="97">
        <f>'01M'!H28+'13M'!H28+'02M'!H28+'03M'!H28+'04M'!H28+'05M'!H28+'06M'!H28+'07M'!H28+'08M'!H28+'09M'!H28+'10M'!H28+'11M'!H28+'12M'!H28</f>
        <v>0</v>
      </c>
      <c r="I28" s="97">
        <f>'01M'!I28+'13M'!I28+'02M'!I28+'03M'!I28+'04M'!I28+'05M'!I28+'06M'!I28+'07M'!I28+'08M'!I28+'09M'!I28+'10M'!I28+'11M'!I28+'12M'!I28</f>
        <v>0</v>
      </c>
      <c r="J28" s="97">
        <f>'01M'!J28+'13M'!J28+'02M'!J28+'03M'!J28+'04M'!J28+'05M'!J28+'06M'!J28+'07M'!J28+'08M'!J28+'09M'!J28+'10M'!J28+'11M'!J28+'12M'!J28</f>
        <v>1181613</v>
      </c>
      <c r="K28" s="144">
        <f>'01M'!K28+'13M'!K28+'02M'!K28+'03M'!K28+'04M'!K28+'05M'!K28+'06M'!K28+'07M'!K28+'08M'!K28+'09M'!K28+'10M'!K28+'11M'!K28+'12M'!K28</f>
        <v>0</v>
      </c>
      <c r="L28" s="98">
        <v>1935372</v>
      </c>
      <c r="M28" s="99">
        <f t="shared" si="0"/>
        <v>0</v>
      </c>
      <c r="N28" s="100">
        <f t="shared" si="1"/>
        <v>0</v>
      </c>
    </row>
    <row r="29" spans="1:14" ht="12.75">
      <c r="A29" s="95" t="s">
        <v>37</v>
      </c>
      <c r="B29" s="96">
        <v>88</v>
      </c>
      <c r="C29" s="97">
        <f>'01M'!C29+'13M'!C29+'02M'!C29+'03M'!C29+'04M'!C29+'05M'!C29+'06M'!C29+'07M'!C29+'08M'!C29+'09M'!C29+'10M'!C29+'11M'!C29+'12M'!C29</f>
        <v>1610373</v>
      </c>
      <c r="D29" s="97">
        <f>'01M'!D29+'13M'!D29+'02M'!D29+'03M'!D29+'04M'!D29+'05M'!D29+'06M'!D29+'07M'!D29+'08M'!D29+'09M'!D29+'10M'!D29+'11M'!D29+'12M'!D29</f>
        <v>0</v>
      </c>
      <c r="E29" s="97">
        <f>'01M'!E29+'13M'!E29+'02M'!E29+'03M'!E29+'04M'!E29+'05M'!E29+'06M'!E29+'07M'!E29+'08M'!E29+'09M'!E29+'10M'!E29+'11M'!E29+'12M'!E29</f>
        <v>166539</v>
      </c>
      <c r="F29" s="97">
        <f>'01M'!F29+'13M'!F29+'02M'!F29+'03M'!F29+'04M'!F29+'05M'!F29+'06M'!F29+'07M'!F29+'08M'!F29+'09M'!F29+'10M'!F29+'11M'!F29+'12M'!F29</f>
        <v>31200</v>
      </c>
      <c r="G29" s="97">
        <f>'01M'!G29+'13M'!G29+'02M'!G29+'03M'!G29+'04M'!G29+'05M'!G29+'06M'!G29+'07M'!G29+'08M'!G29+'09M'!G29+'10M'!G29+'11M'!G29+'12M'!G29</f>
        <v>0</v>
      </c>
      <c r="H29" s="97">
        <f>'01M'!H29+'13M'!H29+'02M'!H29+'03M'!H29+'04M'!H29+'05M'!H29+'06M'!H29+'07M'!H29+'08M'!H29+'09M'!H29+'10M'!H29+'11M'!H29+'12M'!H29</f>
        <v>0</v>
      </c>
      <c r="I29" s="97">
        <f>'01M'!I29+'13M'!I29+'02M'!I29+'03M'!I29+'04M'!I29+'05M'!I29+'06M'!I29+'07M'!I29+'08M'!I29+'09M'!I29+'10M'!I29+'11M'!I29+'12M'!I29</f>
        <v>0</v>
      </c>
      <c r="J29" s="97">
        <f>'01M'!J29+'13M'!J29+'02M'!J29+'03M'!J29+'04M'!J29+'05M'!J29+'06M'!J29+'07M'!J29+'08M'!J29+'09M'!J29+'10M'!J29+'11M'!J29+'12M'!J29</f>
        <v>1808112</v>
      </c>
      <c r="K29" s="144">
        <f>'01M'!K29+'13M'!K29+'02M'!K29+'03M'!K29+'04M'!K29+'05M'!K29+'06M'!K29+'07M'!K29+'08M'!K29+'09M'!K29+'10M'!K29+'11M'!K29+'12M'!K29</f>
        <v>0</v>
      </c>
      <c r="L29" s="98">
        <v>2961519</v>
      </c>
      <c r="M29" s="99">
        <f t="shared" si="0"/>
        <v>0</v>
      </c>
      <c r="N29" s="100">
        <f t="shared" si="1"/>
        <v>0</v>
      </c>
    </row>
    <row r="30" spans="1:14" ht="12.75">
      <c r="A30" s="95" t="s">
        <v>40</v>
      </c>
      <c r="B30" s="96">
        <v>89</v>
      </c>
      <c r="C30" s="97">
        <f>'01M'!C30+'13M'!C30+'02M'!C30+'03M'!C30+'04M'!C30+'05M'!C30+'06M'!C30+'07M'!C30+'08M'!C30+'09M'!C30+'10M'!C30+'11M'!C30+'12M'!C30</f>
        <v>3314664</v>
      </c>
      <c r="D30" s="97">
        <f>'01M'!D30+'13M'!D30+'02M'!D30+'03M'!D30+'04M'!D30+'05M'!D30+'06M'!D30+'07M'!D30+'08M'!D30+'09M'!D30+'10M'!D30+'11M'!D30+'12M'!D30</f>
        <v>0</v>
      </c>
      <c r="E30" s="97">
        <f>'01M'!E30+'13M'!E30+'02M'!E30+'03M'!E30+'04M'!E30+'05M'!E30+'06M'!E30+'07M'!E30+'08M'!E30+'09M'!E30+'10M'!E30+'11M'!E30+'12M'!E30</f>
        <v>341514</v>
      </c>
      <c r="F30" s="97">
        <f>'01M'!F30+'13M'!F30+'02M'!F30+'03M'!F30+'04M'!F30+'05M'!F30+'06M'!F30+'07M'!F30+'08M'!F30+'09M'!F30+'10M'!F30+'11M'!F30+'12M'!F30</f>
        <v>56550</v>
      </c>
      <c r="G30" s="97">
        <f>'01M'!G30+'13M'!G30+'02M'!G30+'03M'!G30+'04M'!G30+'05M'!G30+'06M'!G30+'07M'!G30+'08M'!G30+'09M'!G30+'10M'!G30+'11M'!G30+'12M'!G30</f>
        <v>0</v>
      </c>
      <c r="H30" s="97">
        <f>'01M'!H30+'13M'!H30+'02M'!H30+'03M'!H30+'04M'!H30+'05M'!H30+'06M'!H30+'07M'!H30+'08M'!H30+'09M'!H30+'10M'!H30+'11M'!H30+'12M'!H30</f>
        <v>0</v>
      </c>
      <c r="I30" s="97">
        <f>'01M'!I30+'13M'!I30+'02M'!I30+'03M'!I30+'04M'!I30+'05M'!I30+'06M'!I30+'07M'!I30+'08M'!I30+'09M'!I30+'10M'!I30+'11M'!I30+'12M'!I30</f>
        <v>0</v>
      </c>
      <c r="J30" s="97">
        <f>'01M'!J30+'13M'!J30+'02M'!J30+'03M'!J30+'04M'!J30+'05M'!J30+'06M'!J30+'07M'!J30+'08M'!J30+'09M'!J30+'10M'!J30+'11M'!J30+'12M'!J30</f>
        <v>3712728</v>
      </c>
      <c r="K30" s="144">
        <f>'01M'!K30+'13M'!K30+'02M'!K30+'03M'!K30+'04M'!K30+'05M'!K30+'06M'!K30+'07M'!K30+'08M'!K30+'09M'!K30+'10M'!K30+'11M'!K30+'12M'!K30</f>
        <v>0</v>
      </c>
      <c r="L30" s="98">
        <v>6081103</v>
      </c>
      <c r="M30" s="99">
        <f t="shared" si="0"/>
        <v>0</v>
      </c>
      <c r="N30" s="100">
        <f t="shared" si="1"/>
        <v>0</v>
      </c>
    </row>
    <row r="31" spans="1:14" ht="12.75">
      <c r="A31" s="95" t="s">
        <v>41</v>
      </c>
      <c r="B31" s="96">
        <v>90</v>
      </c>
      <c r="C31" s="97">
        <f>'01M'!C31+'13M'!C31+'02M'!C31+'03M'!C31+'04M'!C31+'05M'!C31+'06M'!C31+'07M'!C31+'08M'!C31+'09M'!C31+'10M'!C31+'11M'!C31+'12M'!C31</f>
        <v>0</v>
      </c>
      <c r="D31" s="97">
        <f>'01M'!D31+'13M'!D31+'02M'!D31+'03M'!D31+'04M'!D31+'05M'!D31+'06M'!D31+'07M'!D31+'08M'!D31+'09M'!D31+'10M'!D31+'11M'!D31+'12M'!D31</f>
        <v>0</v>
      </c>
      <c r="E31" s="97">
        <f>'01M'!E31+'13M'!E31+'02M'!E31+'03M'!E31+'04M'!E31+'05M'!E31+'06M'!E31+'07M'!E31+'08M'!E31+'09M'!E31+'10M'!E31+'11M'!E31+'12M'!E31</f>
        <v>0</v>
      </c>
      <c r="F31" s="97">
        <f>'01M'!F31+'13M'!F31+'02M'!F31+'03M'!F31+'04M'!F31+'05M'!F31+'06M'!F31+'07M'!F31+'08M'!F31+'09M'!F31+'10M'!F31+'11M'!F31+'12M'!F31</f>
        <v>0</v>
      </c>
      <c r="G31" s="97">
        <f>'01M'!G31+'13M'!G31+'02M'!G31+'03M'!G31+'04M'!G31+'05M'!G31+'06M'!G31+'07M'!G31+'08M'!G31+'09M'!G31+'10M'!G31+'11M'!G31+'12M'!G31</f>
        <v>0</v>
      </c>
      <c r="H31" s="97">
        <f>'01M'!H31+'13M'!H31+'02M'!H31+'03M'!H31+'04M'!H31+'05M'!H31+'06M'!H31+'07M'!H31+'08M'!H31+'09M'!H31+'10M'!H31+'11M'!H31+'12M'!H31</f>
        <v>0</v>
      </c>
      <c r="I31" s="97">
        <f>'01M'!I31+'13M'!I31+'02M'!I31+'03M'!I31+'04M'!I31+'05M'!I31+'06M'!I31+'07M'!I31+'08M'!I31+'09M'!I31+'10M'!I31+'11M'!I31+'12M'!I31</f>
        <v>0</v>
      </c>
      <c r="J31" s="97">
        <f>'01M'!J31+'13M'!J31+'02M'!J31+'03M'!J31+'04M'!J31+'05M'!J31+'06M'!J31+'07M'!J31+'08M'!J31+'09M'!J31+'10M'!J31+'11M'!J31+'12M'!J31</f>
        <v>0</v>
      </c>
      <c r="K31" s="144">
        <f>'01M'!K31+'13M'!K31+'02M'!K31+'03M'!K31+'04M'!K31+'05M'!K31+'06M'!K31+'07M'!K31+'08M'!K31+'09M'!K31+'10M'!K31+'11M'!K31+'12M'!K31</f>
        <v>0</v>
      </c>
      <c r="L31" s="98"/>
      <c r="M31" s="99">
        <f t="shared" si="0"/>
        <v>0</v>
      </c>
      <c r="N31" s="100">
        <f t="shared" si="1"/>
        <v>0</v>
      </c>
    </row>
    <row r="32" spans="1:14" s="103" customFormat="1" ht="12.75">
      <c r="A32" s="140" t="s">
        <v>73</v>
      </c>
      <c r="B32" s="141">
        <v>92</v>
      </c>
      <c r="C32" s="143">
        <f aca="true" t="shared" si="2" ref="C32:J32">SUM(C12:C31)</f>
        <v>26223479</v>
      </c>
      <c r="D32" s="143">
        <f t="shared" si="2"/>
        <v>0</v>
      </c>
      <c r="E32" s="143">
        <f t="shared" si="2"/>
        <v>2653407</v>
      </c>
      <c r="F32" s="143">
        <f t="shared" si="2"/>
        <v>904215</v>
      </c>
      <c r="G32" s="143">
        <f t="shared" si="2"/>
        <v>0</v>
      </c>
      <c r="H32" s="143">
        <f t="shared" si="2"/>
        <v>0</v>
      </c>
      <c r="I32" s="143">
        <f t="shared" si="2"/>
        <v>0</v>
      </c>
      <c r="J32" s="143">
        <f t="shared" si="2"/>
        <v>29781101</v>
      </c>
      <c r="K32" s="145">
        <f>SUM(K12:K31)</f>
        <v>0</v>
      </c>
      <c r="L32" s="143">
        <f>SUM(L12:L31)</f>
        <v>48778673</v>
      </c>
      <c r="M32" s="99">
        <f t="shared" si="0"/>
        <v>0</v>
      </c>
      <c r="N32" s="100">
        <f t="shared" si="1"/>
        <v>0</v>
      </c>
    </row>
    <row r="33" spans="1:14" ht="12.75">
      <c r="A33" s="104" t="s">
        <v>64</v>
      </c>
      <c r="B33" s="96">
        <v>104</v>
      </c>
      <c r="C33" s="97">
        <f>'01M'!C33+'13M'!C33+'02M'!C33+'03M'!C33+'04M'!C33+'05M'!C33+'06M'!C33+'07M'!C33+'08M'!C33+'09M'!C33+'10M'!C33+'11M'!C33+'12M'!C33</f>
        <v>0</v>
      </c>
      <c r="D33" s="97">
        <f>'01M'!D33+'13M'!D33+'02M'!D33+'03M'!D33+'04M'!D33+'05M'!D33+'06M'!D33+'07M'!D33+'08M'!D33+'09M'!D33+'10M'!D33+'11M'!D33+'12M'!D33</f>
        <v>0</v>
      </c>
      <c r="E33" s="97">
        <f>'01M'!E33+'13M'!E33+'02M'!E33+'03M'!E33+'04M'!E33+'05M'!E33+'06M'!E33+'07M'!E33+'08M'!E33+'09M'!E33+'10M'!E33+'11M'!E33+'12M'!E33</f>
        <v>0</v>
      </c>
      <c r="F33" s="97">
        <f>'01M'!F33+'13M'!F33+'02M'!F33+'03M'!F33+'04M'!F33+'05M'!F33+'06M'!F33+'07M'!F33+'08M'!F33+'09M'!F33+'10M'!F33+'11M'!F33+'12M'!F33</f>
        <v>0</v>
      </c>
      <c r="G33" s="97">
        <f>'01M'!G33+'13M'!G33+'02M'!G33+'03M'!G33+'04M'!G33+'05M'!G33+'06M'!G33+'07M'!G33+'08M'!G33+'09M'!G33+'10M'!G33+'11M'!G33+'12M'!G33</f>
        <v>0</v>
      </c>
      <c r="H33" s="97">
        <f>'01M'!H33+'13M'!H33+'02M'!H33+'03M'!H33+'04M'!H33+'05M'!H33+'06M'!H33+'07M'!H33+'08M'!H33+'09M'!H33+'10M'!H33+'11M'!H33+'12M'!H33</f>
        <v>0</v>
      </c>
      <c r="I33" s="97">
        <f>'01M'!I33+'13M'!I33+'02M'!I33+'03M'!I33+'04M'!I33+'05M'!I33+'06M'!I33+'07M'!I33+'08M'!I33+'09M'!I33+'10M'!I33+'11M'!I33+'12M'!I33</f>
        <v>0</v>
      </c>
      <c r="J33" s="97">
        <f>'01M'!J33+'13M'!J33+'02M'!J33+'03M'!J33+'04M'!J33+'05M'!J33+'06M'!J33+'07M'!J33+'08M'!J33+'09M'!J33+'10M'!J33+'11M'!J33+'12M'!J33</f>
        <v>0</v>
      </c>
      <c r="K33" s="144">
        <f>'01M'!K33+'13M'!K33+'02M'!K33+'03M'!K33+'04M'!K33+'05M'!K33+'06M'!K33+'07M'!K33+'08M'!K33+'09M'!K33+'10M'!K33+'11M'!K33+'12M'!K33</f>
        <v>0</v>
      </c>
      <c r="L33" s="98"/>
      <c r="M33" s="99">
        <f t="shared" si="0"/>
        <v>0</v>
      </c>
      <c r="N33" s="100">
        <f t="shared" si="1"/>
        <v>0</v>
      </c>
    </row>
    <row r="34" spans="1:14" ht="12.75">
      <c r="A34" s="104" t="s">
        <v>65</v>
      </c>
      <c r="B34" s="96">
        <v>105</v>
      </c>
      <c r="C34" s="97">
        <f>'01M'!C34+'13M'!C34+'02M'!C34+'03M'!C34+'04M'!C34+'05M'!C34+'06M'!C34+'07M'!C34+'08M'!C34+'09M'!C34+'10M'!C34+'11M'!C34+'12M'!C34</f>
        <v>0</v>
      </c>
      <c r="D34" s="97">
        <f>'01M'!D34+'13M'!D34+'02M'!D34+'03M'!D34+'04M'!D34+'05M'!D34+'06M'!D34+'07M'!D34+'08M'!D34+'09M'!D34+'10M'!D34+'11M'!D34+'12M'!D34</f>
        <v>0</v>
      </c>
      <c r="E34" s="97">
        <f>'01M'!E34+'13M'!E34+'02M'!E34+'03M'!E34+'04M'!E34+'05M'!E34+'06M'!E34+'07M'!E34+'08M'!E34+'09M'!E34+'10M'!E34+'11M'!E34+'12M'!E34</f>
        <v>0</v>
      </c>
      <c r="F34" s="97">
        <f>'01M'!F34+'13M'!F34+'02M'!F34+'03M'!F34+'04M'!F34+'05M'!F34+'06M'!F34+'07M'!F34+'08M'!F34+'09M'!F34+'10M'!F34+'11M'!F34+'12M'!F34</f>
        <v>0</v>
      </c>
      <c r="G34" s="97">
        <f>'01M'!G34+'13M'!G34+'02M'!G34+'03M'!G34+'04M'!G34+'05M'!G34+'06M'!G34+'07M'!G34+'08M'!G34+'09M'!G34+'10M'!G34+'11M'!G34+'12M'!G34</f>
        <v>0</v>
      </c>
      <c r="H34" s="97">
        <f>'01M'!H34+'13M'!H34+'02M'!H34+'03M'!H34+'04M'!H34+'05M'!H34+'06M'!H34+'07M'!H34+'08M'!H34+'09M'!H34+'10M'!H34+'11M'!H34+'12M'!H34</f>
        <v>0</v>
      </c>
      <c r="I34" s="97">
        <f>'01M'!I34+'13M'!I34+'02M'!I34+'03M'!I34+'04M'!I34+'05M'!I34+'06M'!I34+'07M'!I34+'08M'!I34+'09M'!I34+'10M'!I34+'11M'!I34+'12M'!I34</f>
        <v>0</v>
      </c>
      <c r="J34" s="97">
        <f>'01M'!J34+'13M'!J34+'02M'!J34+'03M'!J34+'04M'!J34+'05M'!J34+'06M'!J34+'07M'!J34+'08M'!J34+'09M'!J34+'10M'!J34+'11M'!J34+'12M'!J34</f>
        <v>0</v>
      </c>
      <c r="K34" s="144">
        <f>'01M'!K34+'13M'!K34+'02M'!K34+'03M'!K34+'04M'!K34+'05M'!K34+'06M'!K34+'07M'!K34+'08M'!K34+'09M'!K34+'10M'!K34+'11M'!K34+'12M'!K34</f>
        <v>0</v>
      </c>
      <c r="L34" s="98"/>
      <c r="M34" s="99">
        <f t="shared" si="0"/>
        <v>0</v>
      </c>
      <c r="N34" s="100">
        <f t="shared" si="1"/>
        <v>0</v>
      </c>
    </row>
    <row r="35" spans="1:14" s="103" customFormat="1" ht="12.75">
      <c r="A35" s="104" t="s">
        <v>66</v>
      </c>
      <c r="B35" s="96">
        <v>106</v>
      </c>
      <c r="C35" s="97">
        <f>'01M'!C35+'13M'!C35+'02M'!C35+'03M'!C35+'04M'!C35+'05M'!C35+'06M'!C35+'07M'!C35+'08M'!C35+'09M'!C35+'10M'!C35+'11M'!C35+'12M'!C35</f>
        <v>0</v>
      </c>
      <c r="D35" s="97">
        <f>'01M'!D35+'13M'!D35+'02M'!D35+'03M'!D35+'04M'!D35+'05M'!D35+'06M'!D35+'07M'!D35+'08M'!D35+'09M'!D35+'10M'!D35+'11M'!D35+'12M'!D35</f>
        <v>0</v>
      </c>
      <c r="E35" s="97">
        <f>'01M'!E35+'13M'!E35+'02M'!E35+'03M'!E35+'04M'!E35+'05M'!E35+'06M'!E35+'07M'!E35+'08M'!E35+'09M'!E35+'10M'!E35+'11M'!E35+'12M'!E35</f>
        <v>0</v>
      </c>
      <c r="F35" s="97">
        <f>'01M'!F35+'13M'!F35+'02M'!F35+'03M'!F35+'04M'!F35+'05M'!F35+'06M'!F35+'07M'!F35+'08M'!F35+'09M'!F35+'10M'!F35+'11M'!F35+'12M'!F35</f>
        <v>0</v>
      </c>
      <c r="G35" s="97">
        <f>'01M'!G35+'13M'!G35+'02M'!G35+'03M'!G35+'04M'!G35+'05M'!G35+'06M'!G35+'07M'!G35+'08M'!G35+'09M'!G35+'10M'!G35+'11M'!G35+'12M'!G35</f>
        <v>0</v>
      </c>
      <c r="H35" s="97">
        <f>'01M'!H35+'13M'!H35+'02M'!H35+'03M'!H35+'04M'!H35+'05M'!H35+'06M'!H35+'07M'!H35+'08M'!H35+'09M'!H35+'10M'!H35+'11M'!H35+'12M'!H35</f>
        <v>0</v>
      </c>
      <c r="I35" s="97">
        <f>'01M'!I35+'13M'!I35+'02M'!I35+'03M'!I35+'04M'!I35+'05M'!I35+'06M'!I35+'07M'!I35+'08M'!I35+'09M'!I35+'10M'!I35+'11M'!I35+'12M'!I35</f>
        <v>0</v>
      </c>
      <c r="J35" s="97">
        <f>'01M'!J35+'13M'!J35+'02M'!J35+'03M'!J35+'04M'!J35+'05M'!J35+'06M'!J35+'07M'!J35+'08M'!J35+'09M'!J35+'10M'!J35+'11M'!J35+'12M'!J35</f>
        <v>0</v>
      </c>
      <c r="K35" s="144">
        <f>'01M'!K35+'13M'!K35+'02M'!K35+'03M'!K35+'04M'!K35+'05M'!K35+'06M'!K35+'07M'!K35+'08M'!K35+'09M'!K35+'10M'!K35+'11M'!K35+'12M'!K35</f>
        <v>0</v>
      </c>
      <c r="L35" s="98"/>
      <c r="M35" s="99">
        <f t="shared" si="0"/>
        <v>0</v>
      </c>
      <c r="N35" s="100">
        <f t="shared" si="1"/>
        <v>0</v>
      </c>
    </row>
    <row r="36" spans="1:14" s="103" customFormat="1" ht="12.75">
      <c r="A36" s="104" t="s">
        <v>67</v>
      </c>
      <c r="B36" s="96">
        <v>107</v>
      </c>
      <c r="C36" s="97">
        <f>'01M'!C36+'13M'!C36+'02M'!C36+'03M'!C36+'04M'!C36+'05M'!C36+'06M'!C36+'07M'!C36+'08M'!C36+'09M'!C36+'10M'!C36+'11M'!C36+'12M'!C36</f>
        <v>0</v>
      </c>
      <c r="D36" s="97">
        <f>'01M'!D36+'13M'!D36+'02M'!D36+'03M'!D36+'04M'!D36+'05M'!D36+'06M'!D36+'07M'!D36+'08M'!D36+'09M'!D36+'10M'!D36+'11M'!D36+'12M'!D36</f>
        <v>0</v>
      </c>
      <c r="E36" s="97">
        <f>'01M'!E36+'13M'!E36+'02M'!E36+'03M'!E36+'04M'!E36+'05M'!E36+'06M'!E36+'07M'!E36+'08M'!E36+'09M'!E36+'10M'!E36+'11M'!E36+'12M'!E36</f>
        <v>0</v>
      </c>
      <c r="F36" s="97">
        <f>'01M'!F36+'13M'!F36+'02M'!F36+'03M'!F36+'04M'!F36+'05M'!F36+'06M'!F36+'07M'!F36+'08M'!F36+'09M'!F36+'10M'!F36+'11M'!F36+'12M'!F36</f>
        <v>0</v>
      </c>
      <c r="G36" s="97">
        <f>'01M'!G36+'13M'!G36+'02M'!G36+'03M'!G36+'04M'!G36+'05M'!G36+'06M'!G36+'07M'!G36+'08M'!G36+'09M'!G36+'10M'!G36+'11M'!G36+'12M'!G36</f>
        <v>0</v>
      </c>
      <c r="H36" s="97">
        <f>'01M'!H36+'13M'!H36+'02M'!H36+'03M'!H36+'04M'!H36+'05M'!H36+'06M'!H36+'07M'!H36+'08M'!H36+'09M'!H36+'10M'!H36+'11M'!H36+'12M'!H36</f>
        <v>0</v>
      </c>
      <c r="I36" s="97">
        <f>'01M'!I36+'13M'!I36+'02M'!I36+'03M'!I36+'04M'!I36+'05M'!I36+'06M'!I36+'07M'!I36+'08M'!I36+'09M'!I36+'10M'!I36+'11M'!I36+'12M'!I36</f>
        <v>0</v>
      </c>
      <c r="J36" s="97">
        <f>'01M'!J36+'13M'!J36+'02M'!J36+'03M'!J36+'04M'!J36+'05M'!J36+'06M'!J36+'07M'!J36+'08M'!J36+'09M'!J36+'10M'!J36+'11M'!J36+'12M'!J36</f>
        <v>0</v>
      </c>
      <c r="K36" s="144">
        <f>'01M'!K36+'13M'!K36+'02M'!K36+'03M'!K36+'04M'!K36+'05M'!K36+'06M'!K36+'07M'!K36+'08M'!K36+'09M'!K36+'10M'!K36+'11M'!K36+'12M'!K36</f>
        <v>0</v>
      </c>
      <c r="L36" s="98"/>
      <c r="M36" s="99">
        <f t="shared" si="0"/>
        <v>0</v>
      </c>
      <c r="N36" s="100">
        <f t="shared" si="1"/>
        <v>0</v>
      </c>
    </row>
    <row r="37" spans="1:14" s="103" customFormat="1" ht="12.75">
      <c r="A37" s="104" t="s">
        <v>68</v>
      </c>
      <c r="B37" s="96">
        <v>108</v>
      </c>
      <c r="C37" s="97">
        <f>'01M'!C37+'13M'!C37+'02M'!C37+'03M'!C37+'04M'!C37+'05M'!C37+'06M'!C37+'07M'!C37+'08M'!C37+'09M'!C37+'10M'!C37+'11M'!C37+'12M'!C37</f>
        <v>0</v>
      </c>
      <c r="D37" s="97">
        <f>'01M'!D37+'13M'!D37+'02M'!D37+'03M'!D37+'04M'!D37+'05M'!D37+'06M'!D37+'07M'!D37+'08M'!D37+'09M'!D37+'10M'!D37+'11M'!D37+'12M'!D37</f>
        <v>0</v>
      </c>
      <c r="E37" s="97">
        <f>'01M'!E37+'13M'!E37+'02M'!E37+'03M'!E37+'04M'!E37+'05M'!E37+'06M'!E37+'07M'!E37+'08M'!E37+'09M'!E37+'10M'!E37+'11M'!E37+'12M'!E37</f>
        <v>0</v>
      </c>
      <c r="F37" s="97">
        <f>'01M'!F37+'13M'!F37+'02M'!F37+'03M'!F37+'04M'!F37+'05M'!F37+'06M'!F37+'07M'!F37+'08M'!F37+'09M'!F37+'10M'!F37+'11M'!F37+'12M'!F37</f>
        <v>0</v>
      </c>
      <c r="G37" s="97">
        <f>'01M'!G37+'13M'!G37+'02M'!G37+'03M'!G37+'04M'!G37+'05M'!G37+'06M'!G37+'07M'!G37+'08M'!G37+'09M'!G37+'10M'!G37+'11M'!G37+'12M'!G37</f>
        <v>0</v>
      </c>
      <c r="H37" s="97">
        <f>'01M'!H37+'13M'!H37+'02M'!H37+'03M'!H37+'04M'!H37+'05M'!H37+'06M'!H37+'07M'!H37+'08M'!H37+'09M'!H37+'10M'!H37+'11M'!H37+'12M'!H37</f>
        <v>0</v>
      </c>
      <c r="I37" s="97">
        <f>'01M'!I37+'13M'!I37+'02M'!I37+'03M'!I37+'04M'!I37+'05M'!I37+'06M'!I37+'07M'!I37+'08M'!I37+'09M'!I37+'10M'!I37+'11M'!I37+'12M'!I37</f>
        <v>0</v>
      </c>
      <c r="J37" s="97">
        <f>'01M'!J37+'13M'!J37+'02M'!J37+'03M'!J37+'04M'!J37+'05M'!J37+'06M'!J37+'07M'!J37+'08M'!J37+'09M'!J37+'10M'!J37+'11M'!J37+'12M'!J37</f>
        <v>0</v>
      </c>
      <c r="K37" s="144">
        <f>'01M'!K37+'13M'!K37+'02M'!K37+'03M'!K37+'04M'!K37+'05M'!K37+'06M'!K37+'07M'!K37+'08M'!K37+'09M'!K37+'10M'!K37+'11M'!K37+'12M'!K37</f>
        <v>0</v>
      </c>
      <c r="L37" s="98"/>
      <c r="M37" s="99">
        <f t="shared" si="0"/>
        <v>0</v>
      </c>
      <c r="N37" s="100">
        <f t="shared" si="1"/>
        <v>0</v>
      </c>
    </row>
    <row r="38" spans="1:14" s="105" customFormat="1" ht="12.75">
      <c r="A38" s="104" t="s">
        <v>69</v>
      </c>
      <c r="B38" s="96">
        <v>109</v>
      </c>
      <c r="C38" s="97">
        <f>'01M'!C38+'13M'!C38+'02M'!C38+'03M'!C38+'04M'!C38+'05M'!C38+'06M'!C38+'07M'!C38+'08M'!C38+'09M'!C38+'10M'!C38+'11M'!C38+'12M'!C38</f>
        <v>0</v>
      </c>
      <c r="D38" s="97">
        <f>'01M'!D38+'13M'!D38+'02M'!D38+'03M'!D38+'04M'!D38+'05M'!D38+'06M'!D38+'07M'!D38+'08M'!D38+'09M'!D38+'10M'!D38+'11M'!D38+'12M'!D38</f>
        <v>0</v>
      </c>
      <c r="E38" s="97">
        <f>'01M'!E38+'13M'!E38+'02M'!E38+'03M'!E38+'04M'!E38+'05M'!E38+'06M'!E38+'07M'!E38+'08M'!E38+'09M'!E38+'10M'!E38+'11M'!E38+'12M'!E38</f>
        <v>0</v>
      </c>
      <c r="F38" s="97">
        <f>'01M'!F38+'13M'!F38+'02M'!F38+'03M'!F38+'04M'!F38+'05M'!F38+'06M'!F38+'07M'!F38+'08M'!F38+'09M'!F38+'10M'!F38+'11M'!F38+'12M'!F38</f>
        <v>0</v>
      </c>
      <c r="G38" s="97">
        <f>'01M'!G38+'13M'!G38+'02M'!G38+'03M'!G38+'04M'!G38+'05M'!G38+'06M'!G38+'07M'!G38+'08M'!G38+'09M'!G38+'10M'!G38+'11M'!G38+'12M'!G38</f>
        <v>0</v>
      </c>
      <c r="H38" s="97">
        <f>'01M'!H38+'13M'!H38+'02M'!H38+'03M'!H38+'04M'!H38+'05M'!H38+'06M'!H38+'07M'!H38+'08M'!H38+'09M'!H38+'10M'!H38+'11M'!H38+'12M'!H38</f>
        <v>0</v>
      </c>
      <c r="I38" s="97">
        <f>'01M'!I38+'13M'!I38+'02M'!I38+'03M'!I38+'04M'!I38+'05M'!I38+'06M'!I38+'07M'!I38+'08M'!I38+'09M'!I38+'10M'!I38+'11M'!I38+'12M'!I38</f>
        <v>0</v>
      </c>
      <c r="J38" s="97">
        <f>'01M'!J38+'13M'!J38+'02M'!J38+'03M'!J38+'04M'!J38+'05M'!J38+'06M'!J38+'07M'!J38+'08M'!J38+'09M'!J38+'10M'!J38+'11M'!J38+'12M'!J38</f>
        <v>0</v>
      </c>
      <c r="K38" s="144">
        <f>'01M'!K38+'13M'!K38+'02M'!K38+'03M'!K38+'04M'!K38+'05M'!K38+'06M'!K38+'07M'!K38+'08M'!K38+'09M'!K38+'10M'!K38+'11M'!K38+'12M'!K38</f>
        <v>0</v>
      </c>
      <c r="L38" s="98"/>
      <c r="M38" s="99">
        <f t="shared" si="0"/>
        <v>0</v>
      </c>
      <c r="N38" s="100">
        <f t="shared" si="1"/>
        <v>0</v>
      </c>
    </row>
    <row r="39" spans="1:14" ht="12.75">
      <c r="A39" s="140" t="s">
        <v>72</v>
      </c>
      <c r="B39" s="141">
        <v>110</v>
      </c>
      <c r="C39" s="143">
        <f aca="true" t="shared" si="3" ref="C39:J39">SUM(C33:C38)</f>
        <v>0</v>
      </c>
      <c r="D39" s="143">
        <f t="shared" si="3"/>
        <v>0</v>
      </c>
      <c r="E39" s="143">
        <f t="shared" si="3"/>
        <v>0</v>
      </c>
      <c r="F39" s="143">
        <f t="shared" si="3"/>
        <v>0</v>
      </c>
      <c r="G39" s="143">
        <f t="shared" si="3"/>
        <v>0</v>
      </c>
      <c r="H39" s="143">
        <f t="shared" si="3"/>
        <v>0</v>
      </c>
      <c r="I39" s="143">
        <f t="shared" si="3"/>
        <v>0</v>
      </c>
      <c r="J39" s="143">
        <f t="shared" si="3"/>
        <v>0</v>
      </c>
      <c r="K39" s="145">
        <f>SUM(K33:K38)</f>
        <v>0</v>
      </c>
      <c r="L39" s="143">
        <f>SUM(L33:L38)</f>
        <v>0</v>
      </c>
      <c r="M39" s="99">
        <f t="shared" si="0"/>
        <v>0</v>
      </c>
      <c r="N39" s="100">
        <f t="shared" si="1"/>
        <v>0</v>
      </c>
    </row>
    <row r="40" spans="1:14" ht="12.75">
      <c r="A40" s="106" t="s">
        <v>57</v>
      </c>
      <c r="B40" s="96">
        <v>111</v>
      </c>
      <c r="C40" s="97">
        <f>'01M'!C40+'13M'!C40+'02M'!C40+'03M'!C40+'04M'!C40+'05M'!C40+'06M'!C40+'07M'!C40+'08M'!C40+'09M'!C40+'10M'!C40+'11M'!C40+'12M'!C40</f>
        <v>0</v>
      </c>
      <c r="D40" s="97">
        <f>'01M'!D40+'13M'!D40+'02M'!D40+'03M'!D40+'04M'!D40+'05M'!D40+'06M'!D40+'07M'!D40+'08M'!D40+'09M'!D40+'10M'!D40+'11M'!D40+'12M'!D40</f>
        <v>0</v>
      </c>
      <c r="E40" s="97">
        <f>'01M'!E40+'13M'!E40+'02M'!E40+'03M'!E40+'04M'!E40+'05M'!E40+'06M'!E40+'07M'!E40+'08M'!E40+'09M'!E40+'10M'!E40+'11M'!E40+'12M'!E40</f>
        <v>0</v>
      </c>
      <c r="F40" s="97">
        <f>'01M'!F40+'13M'!F40+'02M'!F40+'03M'!F40+'04M'!F40+'05M'!F40+'06M'!F40+'07M'!F40+'08M'!F40+'09M'!F40+'10M'!F40+'11M'!F40+'12M'!F40</f>
        <v>0</v>
      </c>
      <c r="G40" s="97">
        <f>'01M'!G40+'13M'!G40+'02M'!G40+'03M'!G40+'04M'!G40+'05M'!G40+'06M'!G40+'07M'!G40+'08M'!G40+'09M'!G40+'10M'!G40+'11M'!G40+'12M'!G40</f>
        <v>0</v>
      </c>
      <c r="H40" s="97">
        <f>'01M'!H40+'13M'!H40+'02M'!H40+'03M'!H40+'04M'!H40+'05M'!H40+'06M'!H40+'07M'!H40+'08M'!H40+'09M'!H40+'10M'!H40+'11M'!H40+'12M'!H40</f>
        <v>0</v>
      </c>
      <c r="I40" s="97">
        <f>'01M'!I40+'13M'!I40+'02M'!I40+'03M'!I40+'04M'!I40+'05M'!I40+'06M'!I40+'07M'!I40+'08M'!I40+'09M'!I40+'10M'!I40+'11M'!I40+'12M'!I40</f>
        <v>0</v>
      </c>
      <c r="J40" s="97">
        <f>'01M'!J40+'13M'!J40+'02M'!J40+'03M'!J40+'04M'!J40+'05M'!J40+'06M'!J40+'07M'!J40+'08M'!J40+'09M'!J40+'10M'!J40+'11M'!J40+'12M'!J40</f>
        <v>0</v>
      </c>
      <c r="K40" s="144">
        <f>'01M'!K40+'13M'!K40+'02M'!K40+'03M'!K40+'04M'!K40+'05M'!K40+'06M'!K40+'07M'!K40+'08M'!K40+'09M'!K40+'10M'!K40+'11M'!K40+'12M'!K40</f>
        <v>0</v>
      </c>
      <c r="L40" s="98"/>
      <c r="M40" s="99">
        <f t="shared" si="0"/>
        <v>0</v>
      </c>
      <c r="N40" s="100">
        <f t="shared" si="1"/>
        <v>0</v>
      </c>
    </row>
    <row r="41" spans="1:14" ht="12.75">
      <c r="A41" s="106" t="s">
        <v>58</v>
      </c>
      <c r="B41" s="96">
        <v>112</v>
      </c>
      <c r="C41" s="97">
        <f>'01M'!C41+'13M'!C41+'02M'!C41+'03M'!C41+'04M'!C41+'05M'!C41+'06M'!C41+'07M'!C41+'08M'!C41+'09M'!C41+'10M'!C41+'11M'!C41+'12M'!C41</f>
        <v>0</v>
      </c>
      <c r="D41" s="97">
        <f>'01M'!D41+'13M'!D41+'02M'!D41+'03M'!D41+'04M'!D41+'05M'!D41+'06M'!D41+'07M'!D41+'08M'!D41+'09M'!D41+'10M'!D41+'11M'!D41+'12M'!D41</f>
        <v>0</v>
      </c>
      <c r="E41" s="97">
        <f>'01M'!E41+'13M'!E41+'02M'!E41+'03M'!E41+'04M'!E41+'05M'!E41+'06M'!E41+'07M'!E41+'08M'!E41+'09M'!E41+'10M'!E41+'11M'!E41+'12M'!E41</f>
        <v>0</v>
      </c>
      <c r="F41" s="97">
        <f>'01M'!F41+'13M'!F41+'02M'!F41+'03M'!F41+'04M'!F41+'05M'!F41+'06M'!F41+'07M'!F41+'08M'!F41+'09M'!F41+'10M'!F41+'11M'!F41+'12M'!F41</f>
        <v>0</v>
      </c>
      <c r="G41" s="97">
        <f>'01M'!G41+'13M'!G41+'02M'!G41+'03M'!G41+'04M'!G41+'05M'!G41+'06M'!G41+'07M'!G41+'08M'!G41+'09M'!G41+'10M'!G41+'11M'!G41+'12M'!G41</f>
        <v>0</v>
      </c>
      <c r="H41" s="97">
        <f>'01M'!H41+'13M'!H41+'02M'!H41+'03M'!H41+'04M'!H41+'05M'!H41+'06M'!H41+'07M'!H41+'08M'!H41+'09M'!H41+'10M'!H41+'11M'!H41+'12M'!H41</f>
        <v>0</v>
      </c>
      <c r="I41" s="97">
        <f>'01M'!I41+'13M'!I41+'02M'!I41+'03M'!I41+'04M'!I41+'05M'!I41+'06M'!I41+'07M'!I41+'08M'!I41+'09M'!I41+'10M'!I41+'11M'!I41+'12M'!I41</f>
        <v>0</v>
      </c>
      <c r="J41" s="97">
        <f>'01M'!J41+'13M'!J41+'02M'!J41+'03M'!J41+'04M'!J41+'05M'!J41+'06M'!J41+'07M'!J41+'08M'!J41+'09M'!J41+'10M'!J41+'11M'!J41+'12M'!J41</f>
        <v>0</v>
      </c>
      <c r="K41" s="144">
        <f>'01M'!K41+'13M'!K41+'02M'!K41+'03M'!K41+'04M'!K41+'05M'!K41+'06M'!K41+'07M'!K41+'08M'!K41+'09M'!K41+'10M'!K41+'11M'!K41+'12M'!K41</f>
        <v>0</v>
      </c>
      <c r="L41" s="98"/>
      <c r="M41" s="99">
        <f t="shared" si="0"/>
        <v>0</v>
      </c>
      <c r="N41" s="100">
        <f t="shared" si="1"/>
        <v>0</v>
      </c>
    </row>
    <row r="42" spans="1:14" ht="12.75">
      <c r="A42" s="106" t="s">
        <v>59</v>
      </c>
      <c r="B42" s="96">
        <v>113</v>
      </c>
      <c r="C42" s="97">
        <f>'01M'!C42+'13M'!C42+'02M'!C42+'03M'!C42+'04M'!C42+'05M'!C42+'06M'!C42+'07M'!C42+'08M'!C42+'09M'!C42+'10M'!C42+'11M'!C42+'12M'!C42</f>
        <v>2535608</v>
      </c>
      <c r="D42" s="97">
        <f>'01M'!D42+'13M'!D42+'02M'!D42+'03M'!D42+'04M'!D42+'05M'!D42+'06M'!D42+'07M'!D42+'08M'!D42+'09M'!D42+'10M'!D42+'11M'!D42+'12M'!D42</f>
        <v>0</v>
      </c>
      <c r="E42" s="97">
        <f>'01M'!E42+'13M'!E42+'02M'!E42+'03M'!E42+'04M'!E42+'05M'!E42+'06M'!E42+'07M'!E42+'08M'!E42+'09M'!E42+'10M'!E42+'11M'!E42+'12M'!E42</f>
        <v>142772</v>
      </c>
      <c r="F42" s="97">
        <f>'01M'!F42+'13M'!F42+'02M'!F42+'03M'!F42+'04M'!F42+'05M'!F42+'06M'!F42+'07M'!F42+'08M'!F42+'09M'!F42+'10M'!F42+'11M'!F42+'12M'!F42</f>
        <v>13650</v>
      </c>
      <c r="G42" s="97">
        <f>'01M'!G42+'13M'!G42+'02M'!G42+'03M'!G42+'04M'!G42+'05M'!G42+'06M'!G42+'07M'!G42+'08M'!G42+'09M'!G42+'10M'!G42+'11M'!G42+'12M'!G42</f>
        <v>0</v>
      </c>
      <c r="H42" s="97">
        <f>'01M'!H42+'13M'!H42+'02M'!H42+'03M'!H42+'04M'!H42+'05M'!H42+'06M'!H42+'07M'!H42+'08M'!H42+'09M'!H42+'10M'!H42+'11M'!H42+'12M'!H42</f>
        <v>0</v>
      </c>
      <c r="I42" s="97">
        <f>'01M'!I42+'13M'!I42+'02M'!I42+'03M'!I42+'04M'!I42+'05M'!I42+'06M'!I42+'07M'!I42+'08M'!I42+'09M'!I42+'10M'!I42+'11M'!I42+'12M'!I42</f>
        <v>0</v>
      </c>
      <c r="J42" s="97">
        <f>'01M'!J42+'13M'!J42+'02M'!J42+'03M'!J42+'04M'!J42+'05M'!J42+'06M'!J42+'07M'!J42+'08M'!J42+'09M'!J42+'10M'!J42+'11M'!J42+'12M'!J42</f>
        <v>2692030</v>
      </c>
      <c r="K42" s="144">
        <f>'01M'!K42+'13M'!K42+'02M'!K42+'03M'!K42+'04M'!K42+'05M'!K42+'06M'!K42+'07M'!K42+'08M'!K42+'09M'!K42+'10M'!K42+'11M'!K42+'12M'!K42</f>
        <v>0</v>
      </c>
      <c r="L42" s="98">
        <v>4409295</v>
      </c>
      <c r="M42" s="99">
        <f t="shared" si="0"/>
        <v>0</v>
      </c>
      <c r="N42" s="100">
        <f t="shared" si="1"/>
        <v>0</v>
      </c>
    </row>
    <row r="43" spans="1:14" ht="12.75">
      <c r="A43" s="106" t="s">
        <v>60</v>
      </c>
      <c r="B43" s="96">
        <v>114</v>
      </c>
      <c r="C43" s="97">
        <f>'01M'!C43+'13M'!C43+'02M'!C43+'03M'!C43+'04M'!C43+'05M'!C43+'06M'!C43+'07M'!C43+'08M'!C43+'09M'!C43+'10M'!C43+'11M'!C43+'12M'!C43</f>
        <v>5377070</v>
      </c>
      <c r="D43" s="97">
        <f>'01M'!D43+'13M'!D43+'02M'!D43+'03M'!D43+'04M'!D43+'05M'!D43+'06M'!D43+'07M'!D43+'08M'!D43+'09M'!D43+'10M'!D43+'11M'!D43+'12M'!D43</f>
        <v>0</v>
      </c>
      <c r="E43" s="97">
        <f>'01M'!E43+'13M'!E43+'02M'!E43+'03M'!E43+'04M'!E43+'05M'!E43+'06M'!E43+'07M'!E43+'08M'!E43+'09M'!E43+'10M'!E43+'11M'!E43+'12M'!E43</f>
        <v>489242</v>
      </c>
      <c r="F43" s="97">
        <f>'01M'!F43+'13M'!F43+'02M'!F43+'03M'!F43+'04M'!F43+'05M'!F43+'06M'!F43+'07M'!F43+'08M'!F43+'09M'!F43+'10M'!F43+'11M'!F43+'12M'!F43</f>
        <v>52650</v>
      </c>
      <c r="G43" s="97">
        <f>'01M'!G43+'13M'!G43+'02M'!G43+'03M'!G43+'04M'!G43+'05M'!G43+'06M'!G43+'07M'!G43+'08M'!G43+'09M'!G43+'10M'!G43+'11M'!G43+'12M'!G43</f>
        <v>0</v>
      </c>
      <c r="H43" s="97">
        <f>'01M'!H43+'13M'!H43+'02M'!H43+'03M'!H43+'04M'!H43+'05M'!H43+'06M'!H43+'07M'!H43+'08M'!H43+'09M'!H43+'10M'!H43+'11M'!H43+'12M'!H43</f>
        <v>0</v>
      </c>
      <c r="I43" s="97">
        <f>'01M'!I43+'13M'!I43+'02M'!I43+'03M'!I43+'04M'!I43+'05M'!I43+'06M'!I43+'07M'!I43+'08M'!I43+'09M'!I43+'10M'!I43+'11M'!I43+'12M'!I43</f>
        <v>0</v>
      </c>
      <c r="J43" s="97">
        <f>'01M'!J43+'13M'!J43+'02M'!J43+'03M'!J43+'04M'!J43+'05M'!J43+'06M'!J43+'07M'!J43+'08M'!J43+'09M'!J43+'10M'!J43+'11M'!J43+'12M'!J43</f>
        <v>5918962</v>
      </c>
      <c r="K43" s="144">
        <f>'01M'!K43+'13M'!K43+'02M'!K43+'03M'!K43+'04M'!K43+'05M'!K43+'06M'!K43+'07M'!K43+'08M'!K43+'09M'!K43+'10M'!K43+'11M'!K43+'12M'!K43</f>
        <v>0</v>
      </c>
      <c r="L43" s="98">
        <v>9694709</v>
      </c>
      <c r="M43" s="99">
        <f t="shared" si="0"/>
        <v>0</v>
      </c>
      <c r="N43" s="100">
        <f t="shared" si="1"/>
        <v>0</v>
      </c>
    </row>
    <row r="44" spans="1:14" ht="12.75">
      <c r="A44" s="106" t="s">
        <v>61</v>
      </c>
      <c r="B44" s="96">
        <v>115</v>
      </c>
      <c r="C44" s="97">
        <f>'01M'!C44+'13M'!C44+'02M'!C44+'03M'!C44+'04M'!C44+'05M'!C44+'06M'!C44+'07M'!C44+'08M'!C44+'09M'!C44+'10M'!C44+'11M'!C44+'12M'!C44</f>
        <v>18668592</v>
      </c>
      <c r="D44" s="97">
        <f>'01M'!D44+'13M'!D44+'02M'!D44+'03M'!D44+'04M'!D44+'05M'!D44+'06M'!D44+'07M'!D44+'08M'!D44+'09M'!D44+'10M'!D44+'11M'!D44+'12M'!D44</f>
        <v>0</v>
      </c>
      <c r="E44" s="97">
        <f>'01M'!E44+'13M'!E44+'02M'!E44+'03M'!E44+'04M'!E44+'05M'!E44+'06M'!E44+'07M'!E44+'08M'!E44+'09M'!E44+'10M'!E44+'11M'!E44+'12M'!E44</f>
        <v>1862309</v>
      </c>
      <c r="F44" s="97">
        <f>'01M'!F44+'13M'!F44+'02M'!F44+'03M'!F44+'04M'!F44+'05M'!F44+'06M'!F44+'07M'!F44+'08M'!F44+'09M'!F44+'10M'!F44+'11M'!F44+'12M'!F44</f>
        <v>226460</v>
      </c>
      <c r="G44" s="97">
        <f>'01M'!G44+'13M'!G44+'02M'!G44+'03M'!G44+'04M'!G44+'05M'!G44+'06M'!G44+'07M'!G44+'08M'!G44+'09M'!G44+'10M'!G44+'11M'!G44+'12M'!G44</f>
        <v>0</v>
      </c>
      <c r="H44" s="97">
        <f>'01M'!H44+'13M'!H44+'02M'!H44+'03M'!H44+'04M'!H44+'05M'!H44+'06M'!H44+'07M'!H44+'08M'!H44+'09M'!H44+'10M'!H44+'11M'!H44+'12M'!H44</f>
        <v>0</v>
      </c>
      <c r="I44" s="97">
        <f>'01M'!I44+'13M'!I44+'02M'!I44+'03M'!I44+'04M'!I44+'05M'!I44+'06M'!I44+'07M'!I44+'08M'!I44+'09M'!I44+'10M'!I44+'11M'!I44+'12M'!I44</f>
        <v>0</v>
      </c>
      <c r="J44" s="97">
        <f>'01M'!J44+'13M'!J44+'02M'!J44+'03M'!J44+'04M'!J44+'05M'!J44+'06M'!J44+'07M'!J44+'08M'!J44+'09M'!J44+'10M'!J44+'11M'!J44+'12M'!J44</f>
        <v>20757361</v>
      </c>
      <c r="K44" s="144">
        <f>'01M'!K44+'13M'!K44+'02M'!K44+'03M'!K44+'04M'!K44+'05M'!K44+'06M'!K44+'07M'!K44+'08M'!K44+'09M'!K44+'10M'!K44+'11M'!K44+'12M'!K44</f>
        <v>0</v>
      </c>
      <c r="L44" s="98">
        <v>33998627</v>
      </c>
      <c r="M44" s="99">
        <f t="shared" si="0"/>
        <v>0</v>
      </c>
      <c r="N44" s="100">
        <f t="shared" si="1"/>
        <v>0</v>
      </c>
    </row>
    <row r="45" spans="1:14" ht="12.75">
      <c r="A45" s="106" t="s">
        <v>62</v>
      </c>
      <c r="B45" s="96">
        <v>119</v>
      </c>
      <c r="C45" s="97">
        <f>'01M'!C45+'13M'!C45+'02M'!C45+'03M'!C45+'04M'!C45+'05M'!C45+'06M'!C45+'07M'!C45+'08M'!C45+'09M'!C45+'10M'!C45+'11M'!C45+'12M'!C45</f>
        <v>57114337</v>
      </c>
      <c r="D45" s="97">
        <f>'01M'!D45+'13M'!D45+'02M'!D45+'03M'!D45+'04M'!D45+'05M'!D45+'06M'!D45+'07M'!D45+'08M'!D45+'09M'!D45+'10M'!D45+'11M'!D45+'12M'!D45</f>
        <v>0</v>
      </c>
      <c r="E45" s="97">
        <f>'01M'!E45+'13M'!E45+'02M'!E45+'03M'!E45+'04M'!E45+'05M'!E45+'06M'!E45+'07M'!E45+'08M'!E45+'09M'!E45+'10M'!E45+'11M'!E45+'12M'!E45</f>
        <v>5710875</v>
      </c>
      <c r="F45" s="97">
        <f>'01M'!F45+'13M'!F45+'02M'!F45+'03M'!F45+'04M'!F45+'05M'!F45+'06M'!F45+'07M'!F45+'08M'!F45+'09M'!F45+'10M'!F45+'11M'!F45+'12M'!F45</f>
        <v>960372</v>
      </c>
      <c r="G45" s="97">
        <f>'01M'!G45+'13M'!G45+'02M'!G45+'03M'!G45+'04M'!G45+'05M'!G45+'06M'!G45+'07M'!G45+'08M'!G45+'09M'!G45+'10M'!G45+'11M'!G45+'12M'!G45</f>
        <v>0</v>
      </c>
      <c r="H45" s="97">
        <f>'01M'!H45+'13M'!H45+'02M'!H45+'03M'!H45+'04M'!H45+'05M'!H45+'06M'!H45+'07M'!H45+'08M'!H45+'09M'!H45+'10M'!H45+'11M'!H45+'12M'!H45</f>
        <v>0</v>
      </c>
      <c r="I45" s="97">
        <f>'01M'!I45+'13M'!I45+'02M'!I45+'03M'!I45+'04M'!I45+'05M'!I45+'06M'!I45+'07M'!I45+'08M'!I45+'09M'!I45+'10M'!I45+'11M'!I45+'12M'!I45</f>
        <v>0</v>
      </c>
      <c r="J45" s="97">
        <f>'01M'!J45+'13M'!J45+'02M'!J45+'03M'!J45+'04M'!J45+'05M'!J45+'06M'!J45+'07M'!J45+'08M'!J45+'09M'!J45+'10M'!J45+'11M'!J45+'12M'!J45</f>
        <v>63785584</v>
      </c>
      <c r="K45" s="144">
        <f>'01M'!K45+'13M'!K45+'02M'!K45+'03M'!K45+'04M'!K45+'05M'!K45+'06M'!K45+'07M'!K45+'08M'!K45+'09M'!K45+'10M'!K45+'11M'!K45+'12M'!K45</f>
        <v>0</v>
      </c>
      <c r="L45" s="98">
        <v>104474854</v>
      </c>
      <c r="M45" s="99">
        <f t="shared" si="0"/>
        <v>0</v>
      </c>
      <c r="N45" s="100">
        <f t="shared" si="1"/>
        <v>0</v>
      </c>
    </row>
    <row r="46" spans="1:14" ht="12.75">
      <c r="A46" s="106" t="s">
        <v>63</v>
      </c>
      <c r="B46" s="96">
        <v>120</v>
      </c>
      <c r="C46" s="97">
        <f>'01M'!C46+'13M'!C46+'02M'!C46+'03M'!C46+'04M'!C46+'05M'!C46+'06M'!C46+'07M'!C46+'08M'!C46+'09M'!C46+'10M'!C46+'11M'!C46+'12M'!C46</f>
        <v>222276288</v>
      </c>
      <c r="D46" s="97">
        <f>'01M'!D46+'13M'!D46+'02M'!D46+'03M'!D46+'04M'!D46+'05M'!D46+'06M'!D46+'07M'!D46+'08M'!D46+'09M'!D46+'10M'!D46+'11M'!D46+'12M'!D46</f>
        <v>0</v>
      </c>
      <c r="E46" s="97">
        <f>'01M'!E46+'13M'!E46+'02M'!E46+'03M'!E46+'04M'!E46+'05M'!E46+'06M'!E46+'07M'!E46+'08M'!E46+'09M'!E46+'10M'!E46+'11M'!E46+'12M'!E46</f>
        <v>22721503</v>
      </c>
      <c r="F46" s="97">
        <f>'01M'!F46+'13M'!F46+'02M'!F46+'03M'!F46+'04M'!F46+'05M'!F46+'06M'!F46+'07M'!F46+'08M'!F46+'09M'!F46+'10M'!F46+'11M'!F46+'12M'!F46</f>
        <v>6769998</v>
      </c>
      <c r="G46" s="97">
        <f>'01M'!G46+'13M'!G46+'02M'!G46+'03M'!G46+'04M'!G46+'05M'!G46+'06M'!G46+'07M'!G46+'08M'!G46+'09M'!G46+'10M'!G46+'11M'!G46+'12M'!G46</f>
        <v>0</v>
      </c>
      <c r="H46" s="97">
        <f>'01M'!H46+'13M'!H46+'02M'!H46+'03M'!H46+'04M'!H46+'05M'!H46+'06M'!H46+'07M'!H46+'08M'!H46+'09M'!H46+'10M'!H46+'11M'!H46+'12M'!H46</f>
        <v>0</v>
      </c>
      <c r="I46" s="97">
        <f>'01M'!I46+'13M'!I46+'02M'!I46+'03M'!I46+'04M'!I46+'05M'!I46+'06M'!I46+'07M'!I46+'08M'!I46+'09M'!I46+'10M'!I46+'11M'!I46+'12M'!I46</f>
        <v>0</v>
      </c>
      <c r="J46" s="97">
        <f>'01M'!J46+'13M'!J46+'02M'!J46+'03M'!J46+'04M'!J46+'05M'!J46+'06M'!J46+'07M'!J46+'08M'!J46+'09M'!J46+'10M'!J46+'11M'!J46+'12M'!J46</f>
        <v>251767789</v>
      </c>
      <c r="K46" s="144">
        <f>'01M'!K46+'13M'!K46+'02M'!K46+'03M'!K46+'04M'!K46+'05M'!K46+'06M'!K46+'07M'!K46+'08M'!K46+'09M'!K46+'10M'!K46+'11M'!K46+'12M'!K46</f>
        <v>0</v>
      </c>
      <c r="L46" s="98">
        <v>412372220</v>
      </c>
      <c r="M46" s="99">
        <f t="shared" si="0"/>
        <v>0</v>
      </c>
      <c r="N46" s="100">
        <f t="shared" si="1"/>
        <v>0</v>
      </c>
    </row>
    <row r="47" spans="1:14" ht="12.75">
      <c r="A47" s="140" t="s">
        <v>74</v>
      </c>
      <c r="B47" s="141">
        <v>121</v>
      </c>
      <c r="C47" s="143">
        <f aca="true" t="shared" si="4" ref="C47:J47">SUM(C40:C46)</f>
        <v>305971895</v>
      </c>
      <c r="D47" s="143">
        <f t="shared" si="4"/>
        <v>0</v>
      </c>
      <c r="E47" s="143">
        <f t="shared" si="4"/>
        <v>30926701</v>
      </c>
      <c r="F47" s="143">
        <f t="shared" si="4"/>
        <v>8023130</v>
      </c>
      <c r="G47" s="143">
        <f t="shared" si="4"/>
        <v>0</v>
      </c>
      <c r="H47" s="143">
        <f t="shared" si="4"/>
        <v>0</v>
      </c>
      <c r="I47" s="143">
        <f t="shared" si="4"/>
        <v>0</v>
      </c>
      <c r="J47" s="143">
        <f t="shared" si="4"/>
        <v>344921726</v>
      </c>
      <c r="K47" s="145">
        <f>SUM(K40:K46)</f>
        <v>0</v>
      </c>
      <c r="L47" s="143">
        <f>SUM(L40:L46)</f>
        <v>564949705</v>
      </c>
      <c r="M47" s="99">
        <f t="shared" si="0"/>
        <v>0</v>
      </c>
      <c r="N47" s="100">
        <f t="shared" si="1"/>
        <v>0</v>
      </c>
    </row>
    <row r="48" spans="1:14" ht="12.75">
      <c r="A48" s="140" t="s">
        <v>70</v>
      </c>
      <c r="B48" s="141">
        <v>152</v>
      </c>
      <c r="C48" s="143">
        <f aca="true" t="shared" si="5" ref="C48:J48">C32+C39+C47</f>
        <v>332195374</v>
      </c>
      <c r="D48" s="143">
        <f t="shared" si="5"/>
        <v>0</v>
      </c>
      <c r="E48" s="143">
        <f t="shared" si="5"/>
        <v>33580108</v>
      </c>
      <c r="F48" s="143">
        <f t="shared" si="5"/>
        <v>8927345</v>
      </c>
      <c r="G48" s="143">
        <f t="shared" si="5"/>
        <v>0</v>
      </c>
      <c r="H48" s="143">
        <f t="shared" si="5"/>
        <v>0</v>
      </c>
      <c r="I48" s="143">
        <f t="shared" si="5"/>
        <v>0</v>
      </c>
      <c r="J48" s="143">
        <f t="shared" si="5"/>
        <v>374702827</v>
      </c>
      <c r="K48" s="145">
        <f>K32+K39+K47</f>
        <v>0</v>
      </c>
      <c r="L48" s="143">
        <f>L32+L39+L47</f>
        <v>613728378</v>
      </c>
      <c r="M48" s="99">
        <f t="shared" si="0"/>
        <v>0</v>
      </c>
      <c r="N48" s="100">
        <f t="shared" si="1"/>
        <v>0</v>
      </c>
    </row>
    <row r="49" spans="1:14" ht="12.75">
      <c r="A49" s="140" t="s">
        <v>51</v>
      </c>
      <c r="B49" s="141">
        <v>158</v>
      </c>
      <c r="C49" s="97">
        <f>'01M'!C49+'13M'!C49+'02M'!C49+'03M'!C49+'04M'!C49+'05M'!C49+'06M'!C49+'07M'!C49+'08M'!C49+'09M'!C49+'10M'!C49+'11M'!C49+'12M'!C49</f>
        <v>1200088</v>
      </c>
      <c r="D49" s="97">
        <f>'01M'!D49+'13M'!D49+'02M'!D49+'03M'!D49+'04M'!D49+'05M'!D49+'06M'!D49+'07M'!D49+'08M'!D49+'09M'!D49+'10M'!D49+'11M'!D49+'12M'!D49</f>
        <v>0</v>
      </c>
      <c r="E49" s="97">
        <f>'01M'!E49+'13M'!E49+'02M'!E49+'03M'!E49+'04M'!E49+'05M'!E49+'06M'!E49+'07M'!E49+'08M'!E49+'09M'!E49+'10M'!E49+'11M'!E49+'12M'!E49</f>
        <v>119227</v>
      </c>
      <c r="F49" s="97">
        <f>'01M'!F49+'13M'!F49+'02M'!F49+'03M'!F49+'04M'!F49+'05M'!F49+'06M'!F49+'07M'!F49+'08M'!F49+'09M'!F49+'10M'!F49+'11M'!F49+'12M'!F49</f>
        <v>19358</v>
      </c>
      <c r="G49" s="97">
        <f>'01M'!G49+'13M'!G49+'02M'!G49+'03M'!G49+'04M'!G49+'05M'!G49+'06M'!G49+'07M'!G49+'08M'!G49+'09M'!G49+'10M'!G49+'11M'!G49+'12M'!G49</f>
        <v>0</v>
      </c>
      <c r="H49" s="97">
        <f>'01M'!H49+'13M'!H49+'02M'!H49+'03M'!H49+'04M'!H49+'05M'!H49+'06M'!H49+'07M'!H49+'08M'!H49+'09M'!H49+'10M'!H49+'11M'!H49+'12M'!H49</f>
        <v>0</v>
      </c>
      <c r="I49" s="97">
        <f>'01M'!I49+'13M'!I49+'02M'!I49+'03M'!I49+'04M'!I49+'05M'!I49+'06M'!I49+'07M'!I49+'08M'!I49+'09M'!I49+'10M'!I49+'11M'!I49+'12M'!I49</f>
        <v>0</v>
      </c>
      <c r="J49" s="97">
        <f>'01M'!J49+'13M'!J49+'02M'!J49+'03M'!J49+'04M'!J49+'05M'!J49+'06M'!J49+'07M'!J49+'08M'!J49+'09M'!J49+'10M'!J49+'11M'!J49+'12M'!J49</f>
        <v>1338673</v>
      </c>
      <c r="K49" s="144">
        <f>'01M'!K49+'13M'!K49+'02M'!K49+'03M'!K49+'04M'!K49+'05M'!K49+'06M'!K49+'07M'!K49+'08M'!K49+'09M'!K49+'10M'!K49+'11M'!K49+'12M'!K49</f>
        <v>0</v>
      </c>
      <c r="L49" s="98">
        <v>2192622</v>
      </c>
      <c r="M49" s="99">
        <f t="shared" si="0"/>
        <v>0</v>
      </c>
      <c r="N49" s="100">
        <f t="shared" si="1"/>
        <v>0</v>
      </c>
    </row>
    <row r="50" spans="1:14" ht="12.75">
      <c r="A50" s="140" t="s">
        <v>75</v>
      </c>
      <c r="B50" s="141">
        <v>159</v>
      </c>
      <c r="C50" s="143">
        <f aca="true" t="shared" si="6" ref="C50:J50">C48+C49</f>
        <v>333395462</v>
      </c>
      <c r="D50" s="143">
        <f t="shared" si="6"/>
        <v>0</v>
      </c>
      <c r="E50" s="143">
        <f t="shared" si="6"/>
        <v>33699335</v>
      </c>
      <c r="F50" s="143">
        <f t="shared" si="6"/>
        <v>8946703</v>
      </c>
      <c r="G50" s="143">
        <f t="shared" si="6"/>
        <v>0</v>
      </c>
      <c r="H50" s="143">
        <f t="shared" si="6"/>
        <v>0</v>
      </c>
      <c r="I50" s="143">
        <f t="shared" si="6"/>
        <v>0</v>
      </c>
      <c r="J50" s="143">
        <f t="shared" si="6"/>
        <v>376041500</v>
      </c>
      <c r="K50" s="145">
        <f>K48+K49</f>
        <v>0</v>
      </c>
      <c r="L50" s="143">
        <f>L48+L49</f>
        <v>615921000</v>
      </c>
      <c r="M50" s="99">
        <f t="shared" si="0"/>
        <v>0</v>
      </c>
      <c r="N50" s="100">
        <f t="shared" si="1"/>
        <v>0</v>
      </c>
    </row>
    <row r="51" spans="1:14" ht="12.75">
      <c r="A51" s="156"/>
      <c r="B51" s="157"/>
      <c r="C51" s="158"/>
      <c r="D51" s="158"/>
      <c r="E51" s="158"/>
      <c r="F51" s="158"/>
      <c r="G51" s="158"/>
      <c r="H51" s="158"/>
      <c r="I51" s="158"/>
      <c r="J51" s="158"/>
      <c r="K51" s="159"/>
      <c r="L51" s="158"/>
      <c r="M51" s="160"/>
      <c r="N51" s="161"/>
    </row>
    <row r="52" spans="1:14" ht="12.75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7"/>
      <c r="M52" s="160"/>
      <c r="N52" s="161"/>
    </row>
    <row r="53" spans="1:14" ht="12.75">
      <c r="A53" s="178" t="s">
        <v>3</v>
      </c>
      <c r="B53" s="136" t="s">
        <v>49</v>
      </c>
      <c r="C53" s="137" t="s">
        <v>188</v>
      </c>
      <c r="D53" s="137" t="s">
        <v>189</v>
      </c>
      <c r="E53" s="137" t="s">
        <v>106</v>
      </c>
      <c r="F53" s="137" t="s">
        <v>190</v>
      </c>
      <c r="G53" s="137" t="s">
        <v>191</v>
      </c>
      <c r="H53" s="137" t="s">
        <v>192</v>
      </c>
      <c r="I53" s="137" t="s">
        <v>192</v>
      </c>
      <c r="J53" s="137" t="s">
        <v>192</v>
      </c>
      <c r="K53" s="191" t="s">
        <v>160</v>
      </c>
      <c r="L53" s="192"/>
      <c r="M53" s="160"/>
      <c r="N53" s="161"/>
    </row>
    <row r="54" spans="1:14" ht="12.75">
      <c r="A54" s="179"/>
      <c r="B54" s="54" t="s">
        <v>50</v>
      </c>
      <c r="C54" s="55" t="s">
        <v>105</v>
      </c>
      <c r="D54" s="55" t="s">
        <v>105</v>
      </c>
      <c r="E54" s="55" t="s">
        <v>105</v>
      </c>
      <c r="F54" s="55" t="s">
        <v>109</v>
      </c>
      <c r="G54" s="55" t="s">
        <v>109</v>
      </c>
      <c r="H54" s="55" t="s">
        <v>193</v>
      </c>
      <c r="I54" s="55" t="s">
        <v>194</v>
      </c>
      <c r="J54" s="117" t="s">
        <v>114</v>
      </c>
      <c r="K54" s="54" t="s">
        <v>162</v>
      </c>
      <c r="L54" s="54" t="s">
        <v>161</v>
      </c>
      <c r="M54" s="160"/>
      <c r="N54" s="161"/>
    </row>
    <row r="55" spans="1:14" ht="12.75">
      <c r="A55" s="56"/>
      <c r="B55" s="57">
        <f aca="true" t="shared" si="7" ref="B55:B74">IF(A55="","",VLOOKUP(A55,$A$12:$B$50,2,FALSE))</f>
      </c>
      <c r="C55" s="57"/>
      <c r="D55" s="57"/>
      <c r="E55" s="57"/>
      <c r="F55" s="57"/>
      <c r="G55" s="57"/>
      <c r="H55" s="57"/>
      <c r="I55" s="57"/>
      <c r="J55" s="130"/>
      <c r="K55" s="57"/>
      <c r="L55" s="57"/>
      <c r="M55" s="160"/>
      <c r="N55" s="161"/>
    </row>
    <row r="56" spans="1:14" ht="12.75">
      <c r="A56" s="60"/>
      <c r="B56" s="61">
        <f t="shared" si="7"/>
      </c>
      <c r="C56" s="61"/>
      <c r="D56" s="61"/>
      <c r="E56" s="61"/>
      <c r="F56" s="61"/>
      <c r="G56" s="61"/>
      <c r="H56" s="61"/>
      <c r="I56" s="61"/>
      <c r="J56" s="133"/>
      <c r="K56" s="61"/>
      <c r="L56" s="61"/>
      <c r="M56" s="160"/>
      <c r="N56" s="161"/>
    </row>
    <row r="57" spans="1:14" ht="12.75">
      <c r="A57" s="60"/>
      <c r="B57" s="61">
        <f t="shared" si="7"/>
      </c>
      <c r="C57" s="61"/>
      <c r="D57" s="61"/>
      <c r="E57" s="61"/>
      <c r="F57" s="61"/>
      <c r="G57" s="61"/>
      <c r="H57" s="61"/>
      <c r="I57" s="61"/>
      <c r="J57" s="133"/>
      <c r="K57" s="61"/>
      <c r="L57" s="61"/>
      <c r="M57" s="160"/>
      <c r="N57" s="161"/>
    </row>
    <row r="58" spans="1:14" ht="12.75">
      <c r="A58" s="60"/>
      <c r="B58" s="61">
        <f t="shared" si="7"/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160"/>
      <c r="N58" s="161"/>
    </row>
    <row r="59" spans="1:14" ht="12.75">
      <c r="A59" s="56"/>
      <c r="B59" s="57">
        <f t="shared" si="7"/>
      </c>
      <c r="C59" s="57"/>
      <c r="D59" s="57"/>
      <c r="E59" s="57"/>
      <c r="F59" s="57"/>
      <c r="G59" s="57"/>
      <c r="H59" s="57"/>
      <c r="I59" s="57"/>
      <c r="J59" s="130"/>
      <c r="K59" s="57"/>
      <c r="L59" s="57"/>
      <c r="M59" s="160"/>
      <c r="N59" s="161"/>
    </row>
    <row r="60" spans="1:14" ht="12.75">
      <c r="A60" s="60"/>
      <c r="B60" s="61">
        <f t="shared" si="7"/>
      </c>
      <c r="C60" s="61"/>
      <c r="D60" s="61"/>
      <c r="E60" s="61"/>
      <c r="F60" s="61"/>
      <c r="G60" s="61"/>
      <c r="H60" s="61"/>
      <c r="I60" s="61"/>
      <c r="J60" s="133"/>
      <c r="K60" s="61"/>
      <c r="L60" s="61"/>
      <c r="M60" s="160"/>
      <c r="N60" s="161"/>
    </row>
    <row r="61" spans="1:14" ht="12.75">
      <c r="A61" s="60"/>
      <c r="B61" s="61">
        <f t="shared" si="7"/>
      </c>
      <c r="C61" s="61"/>
      <c r="D61" s="61"/>
      <c r="E61" s="61"/>
      <c r="F61" s="61"/>
      <c r="G61" s="61"/>
      <c r="H61" s="61"/>
      <c r="I61" s="61"/>
      <c r="J61" s="133"/>
      <c r="K61" s="61"/>
      <c r="L61" s="61"/>
      <c r="M61" s="160"/>
      <c r="N61" s="161"/>
    </row>
    <row r="62" spans="1:14" ht="12.75">
      <c r="A62" s="60"/>
      <c r="B62" s="61">
        <f t="shared" si="7"/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160"/>
      <c r="N62" s="161"/>
    </row>
    <row r="63" spans="1:14" ht="12.75">
      <c r="A63" s="56"/>
      <c r="B63" s="57">
        <f t="shared" si="7"/>
      </c>
      <c r="C63" s="57"/>
      <c r="D63" s="57"/>
      <c r="E63" s="57"/>
      <c r="F63" s="57"/>
      <c r="G63" s="57"/>
      <c r="H63" s="57"/>
      <c r="I63" s="57"/>
      <c r="J63" s="130"/>
      <c r="K63" s="57"/>
      <c r="L63" s="57"/>
      <c r="M63" s="160"/>
      <c r="N63" s="161"/>
    </row>
    <row r="64" spans="1:14" ht="12.75">
      <c r="A64" s="60"/>
      <c r="B64" s="61">
        <f t="shared" si="7"/>
      </c>
      <c r="C64" s="61"/>
      <c r="D64" s="61"/>
      <c r="E64" s="61"/>
      <c r="F64" s="61"/>
      <c r="G64" s="61"/>
      <c r="H64" s="61"/>
      <c r="I64" s="61"/>
      <c r="J64" s="133"/>
      <c r="K64" s="61"/>
      <c r="L64" s="61"/>
      <c r="M64" s="160"/>
      <c r="N64" s="161"/>
    </row>
    <row r="65" spans="1:14" ht="12.75">
      <c r="A65" s="60"/>
      <c r="B65" s="61">
        <f t="shared" si="7"/>
      </c>
      <c r="C65" s="61"/>
      <c r="D65" s="61"/>
      <c r="E65" s="61"/>
      <c r="F65" s="61"/>
      <c r="G65" s="61"/>
      <c r="H65" s="61"/>
      <c r="I65" s="61"/>
      <c r="J65" s="133"/>
      <c r="K65" s="61"/>
      <c r="L65" s="61"/>
      <c r="M65" s="160"/>
      <c r="N65" s="161"/>
    </row>
    <row r="66" spans="1:14" ht="12.75">
      <c r="A66" s="60"/>
      <c r="B66" s="61">
        <f t="shared" si="7"/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160"/>
      <c r="N66" s="161"/>
    </row>
    <row r="67" spans="1:14" ht="12.75">
      <c r="A67" s="56"/>
      <c r="B67" s="57">
        <f t="shared" si="7"/>
      </c>
      <c r="C67" s="57"/>
      <c r="D67" s="57"/>
      <c r="E67" s="57"/>
      <c r="F67" s="57"/>
      <c r="G67" s="57"/>
      <c r="H67" s="57"/>
      <c r="I67" s="57"/>
      <c r="J67" s="130"/>
      <c r="K67" s="57"/>
      <c r="L67" s="57"/>
      <c r="M67" s="160"/>
      <c r="N67" s="161"/>
    </row>
    <row r="68" spans="1:14" ht="12.75">
      <c r="A68" s="60"/>
      <c r="B68" s="61">
        <f t="shared" si="7"/>
      </c>
      <c r="C68" s="61"/>
      <c r="D68" s="61"/>
      <c r="E68" s="61"/>
      <c r="F68" s="61"/>
      <c r="G68" s="61"/>
      <c r="H68" s="61"/>
      <c r="I68" s="61"/>
      <c r="J68" s="133"/>
      <c r="K68" s="61"/>
      <c r="L68" s="61"/>
      <c r="M68" s="160"/>
      <c r="N68" s="161"/>
    </row>
    <row r="69" spans="1:14" ht="12.75">
      <c r="A69" s="60"/>
      <c r="B69" s="61">
        <f t="shared" si="7"/>
      </c>
      <c r="C69" s="61"/>
      <c r="D69" s="61"/>
      <c r="E69" s="61"/>
      <c r="F69" s="61"/>
      <c r="G69" s="61"/>
      <c r="H69" s="61"/>
      <c r="I69" s="61"/>
      <c r="J69" s="133"/>
      <c r="K69" s="61"/>
      <c r="L69" s="61"/>
      <c r="M69" s="160"/>
      <c r="N69" s="161"/>
    </row>
    <row r="70" spans="1:14" ht="12.75">
      <c r="A70" s="60"/>
      <c r="B70" s="61">
        <f t="shared" si="7"/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160"/>
      <c r="N70" s="161"/>
    </row>
    <row r="71" spans="1:14" ht="12.75">
      <c r="A71" s="56"/>
      <c r="B71" s="57">
        <f t="shared" si="7"/>
      </c>
      <c r="C71" s="57"/>
      <c r="D71" s="57"/>
      <c r="E71" s="57"/>
      <c r="F71" s="57"/>
      <c r="G71" s="57"/>
      <c r="H71" s="57"/>
      <c r="I71" s="57"/>
      <c r="J71" s="130"/>
      <c r="K71" s="57"/>
      <c r="L71" s="57"/>
      <c r="M71" s="160"/>
      <c r="N71" s="161"/>
    </row>
    <row r="72" spans="1:14" ht="12.75">
      <c r="A72" s="60"/>
      <c r="B72" s="61">
        <f t="shared" si="7"/>
      </c>
      <c r="C72" s="61"/>
      <c r="D72" s="61"/>
      <c r="E72" s="61"/>
      <c r="F72" s="61"/>
      <c r="G72" s="61"/>
      <c r="H72" s="61"/>
      <c r="I72" s="61"/>
      <c r="J72" s="133"/>
      <c r="K72" s="61"/>
      <c r="L72" s="61"/>
      <c r="M72" s="160"/>
      <c r="N72" s="161"/>
    </row>
    <row r="73" spans="1:14" ht="12.75">
      <c r="A73" s="60"/>
      <c r="B73" s="61">
        <f t="shared" si="7"/>
      </c>
      <c r="C73" s="61"/>
      <c r="D73" s="61"/>
      <c r="E73" s="61"/>
      <c r="F73" s="61"/>
      <c r="G73" s="61"/>
      <c r="H73" s="61"/>
      <c r="I73" s="61"/>
      <c r="J73" s="133"/>
      <c r="K73" s="61"/>
      <c r="L73" s="61"/>
      <c r="M73" s="160"/>
      <c r="N73" s="161"/>
    </row>
    <row r="74" spans="1:12" ht="12.75">
      <c r="A74" s="60"/>
      <c r="B74" s="61">
        <f t="shared" si="7"/>
      </c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1" ht="12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</row>
    <row r="76" spans="1:11" ht="12.75">
      <c r="A76" s="109" t="s">
        <v>21</v>
      </c>
      <c r="B76" s="175" t="s">
        <v>216</v>
      </c>
      <c r="C76" s="199"/>
      <c r="D76" s="199"/>
      <c r="E76" s="108"/>
      <c r="F76" s="107"/>
      <c r="G76" s="107"/>
      <c r="H76" s="107"/>
      <c r="I76" s="107"/>
      <c r="J76" s="107"/>
      <c r="K76" s="107"/>
    </row>
    <row r="77" spans="1:11" ht="12.75">
      <c r="A77" s="107"/>
      <c r="B77" s="107"/>
      <c r="C77" s="107"/>
      <c r="D77" s="107"/>
      <c r="E77" s="107"/>
      <c r="F77" s="107"/>
      <c r="G77" s="107"/>
      <c r="H77" s="174" t="s">
        <v>211</v>
      </c>
      <c r="I77" s="174"/>
      <c r="J77" s="107"/>
      <c r="K77" s="107"/>
    </row>
    <row r="78" spans="1:11" ht="12.75">
      <c r="A78" s="107"/>
      <c r="B78" s="107"/>
      <c r="C78" s="107"/>
      <c r="D78" s="107"/>
      <c r="E78" s="107"/>
      <c r="F78" s="107"/>
      <c r="G78" s="107"/>
      <c r="H78" s="200" t="s">
        <v>48</v>
      </c>
      <c r="I78" s="200"/>
      <c r="J78" s="107"/>
      <c r="K78" s="107"/>
    </row>
    <row r="79" spans="1:11" ht="12.7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</row>
    <row r="80" spans="1:11" ht="12.7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</row>
    <row r="81" spans="1:11" ht="12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</row>
    <row r="223" ht="24.75" customHeight="1">
      <c r="A223" s="110" t="s">
        <v>123</v>
      </c>
    </row>
    <row r="224" ht="24.75" customHeight="1">
      <c r="A224" s="110" t="s">
        <v>124</v>
      </c>
    </row>
    <row r="225" ht="24.75" customHeight="1">
      <c r="A225" s="110" t="s">
        <v>125</v>
      </c>
    </row>
    <row r="226" ht="24.75" customHeight="1">
      <c r="A226" s="110" t="s">
        <v>126</v>
      </c>
    </row>
    <row r="227" ht="24.75" customHeight="1">
      <c r="A227" s="110" t="s">
        <v>127</v>
      </c>
    </row>
    <row r="228" ht="24.75" customHeight="1">
      <c r="A228" s="110" t="s">
        <v>128</v>
      </c>
    </row>
    <row r="229" ht="24.75" customHeight="1">
      <c r="A229" s="110" t="s">
        <v>129</v>
      </c>
    </row>
    <row r="230" ht="24.75" customHeight="1">
      <c r="A230" s="110" t="s">
        <v>132</v>
      </c>
    </row>
    <row r="231" ht="24.75" customHeight="1">
      <c r="A231" s="110" t="s">
        <v>133</v>
      </c>
    </row>
    <row r="232" ht="24.75" customHeight="1">
      <c r="A232" s="110" t="s">
        <v>134</v>
      </c>
    </row>
    <row r="233" ht="24.75" customHeight="1">
      <c r="A233" s="110" t="s">
        <v>135</v>
      </c>
    </row>
    <row r="234" ht="24.75" customHeight="1">
      <c r="A234" s="110" t="s">
        <v>130</v>
      </c>
    </row>
    <row r="235" ht="24.75" customHeight="1">
      <c r="A235" s="110" t="s">
        <v>136</v>
      </c>
    </row>
    <row r="236" ht="24.75" customHeight="1">
      <c r="A236" s="110" t="s">
        <v>137</v>
      </c>
    </row>
    <row r="237" ht="24.75" customHeight="1">
      <c r="A237" s="110" t="s">
        <v>131</v>
      </c>
    </row>
    <row r="238" ht="24.75" customHeight="1">
      <c r="A238" s="110" t="s">
        <v>138</v>
      </c>
    </row>
    <row r="239" ht="24.75" customHeight="1">
      <c r="A239" s="110" t="s">
        <v>139</v>
      </c>
    </row>
    <row r="240" ht="24.75" customHeight="1">
      <c r="A240" s="110" t="s">
        <v>140</v>
      </c>
    </row>
    <row r="241" ht="24.75" customHeight="1">
      <c r="A241" s="110" t="s">
        <v>141</v>
      </c>
    </row>
    <row r="242" ht="24.75" customHeight="1">
      <c r="A242" s="110" t="s">
        <v>142</v>
      </c>
    </row>
    <row r="243" ht="24.75" customHeight="1">
      <c r="A243" s="110" t="s">
        <v>143</v>
      </c>
    </row>
    <row r="244" ht="24.75" customHeight="1">
      <c r="A244" s="110" t="s">
        <v>144</v>
      </c>
    </row>
    <row r="245" ht="24.75" customHeight="1">
      <c r="A245" s="110" t="s">
        <v>145</v>
      </c>
    </row>
    <row r="246" ht="24.75" customHeight="1">
      <c r="A246" s="110" t="s">
        <v>146</v>
      </c>
    </row>
    <row r="247" ht="24.75" customHeight="1">
      <c r="A247" s="110" t="s">
        <v>147</v>
      </c>
    </row>
    <row r="248" ht="24.75" customHeight="1">
      <c r="A248" s="110" t="s">
        <v>148</v>
      </c>
    </row>
    <row r="249" ht="24.75" customHeight="1">
      <c r="A249" s="110" t="s">
        <v>149</v>
      </c>
    </row>
    <row r="250" ht="24.75" customHeight="1">
      <c r="A250" s="110" t="s">
        <v>150</v>
      </c>
    </row>
    <row r="251" ht="24.75" customHeight="1">
      <c r="A251" s="110" t="s">
        <v>151</v>
      </c>
    </row>
    <row r="252" ht="24.75" customHeight="1">
      <c r="A252" s="110" t="s">
        <v>152</v>
      </c>
    </row>
    <row r="253" ht="24.75" customHeight="1">
      <c r="A253" s="110" t="s">
        <v>153</v>
      </c>
    </row>
    <row r="254" ht="24.75" customHeight="1">
      <c r="A254" s="110" t="s">
        <v>154</v>
      </c>
    </row>
    <row r="264" ht="12.75">
      <c r="A264" s="65" t="s">
        <v>22</v>
      </c>
    </row>
    <row r="265" ht="12.75">
      <c r="A265" s="65" t="s">
        <v>23</v>
      </c>
    </row>
    <row r="266" ht="12.75">
      <c r="A266" s="65" t="s">
        <v>24</v>
      </c>
    </row>
    <row r="267" ht="12.75">
      <c r="A267" s="65" t="s">
        <v>26</v>
      </c>
    </row>
    <row r="268" ht="12.75">
      <c r="A268" s="65" t="s">
        <v>25</v>
      </c>
    </row>
    <row r="269" ht="12.75">
      <c r="A269" s="65" t="s">
        <v>27</v>
      </c>
    </row>
    <row r="270" ht="12.75">
      <c r="A270" s="65" t="s">
        <v>28</v>
      </c>
    </row>
    <row r="271" ht="12.75">
      <c r="A271" s="65" t="s">
        <v>29</v>
      </c>
    </row>
    <row r="272" ht="12.75">
      <c r="A272" s="65" t="s">
        <v>30</v>
      </c>
    </row>
    <row r="273" ht="12.75">
      <c r="A273" s="65" t="s">
        <v>31</v>
      </c>
    </row>
    <row r="274" ht="12.75">
      <c r="A274" s="65" t="s">
        <v>38</v>
      </c>
    </row>
    <row r="275" ht="12.75">
      <c r="A275" s="65" t="s">
        <v>39</v>
      </c>
    </row>
    <row r="276" ht="12.75">
      <c r="A276" s="65" t="s">
        <v>32</v>
      </c>
    </row>
    <row r="277" ht="12.75">
      <c r="A277" s="65" t="s">
        <v>33</v>
      </c>
    </row>
    <row r="278" ht="12.75">
      <c r="A278" s="65" t="s">
        <v>34</v>
      </c>
    </row>
    <row r="279" ht="12.75">
      <c r="A279" s="65" t="s">
        <v>35</v>
      </c>
    </row>
    <row r="280" ht="12.75">
      <c r="A280" s="65" t="s">
        <v>36</v>
      </c>
    </row>
    <row r="281" ht="12.75">
      <c r="A281" s="65" t="s">
        <v>37</v>
      </c>
    </row>
    <row r="282" ht="12.75">
      <c r="A282" s="65" t="s">
        <v>40</v>
      </c>
    </row>
    <row r="283" ht="12.75">
      <c r="A283" s="65" t="s">
        <v>41</v>
      </c>
    </row>
    <row r="284" ht="12.75">
      <c r="A284" s="111" t="s">
        <v>64</v>
      </c>
    </row>
    <row r="285" ht="12.75">
      <c r="A285" s="111" t="s">
        <v>65</v>
      </c>
    </row>
    <row r="286" ht="12.75">
      <c r="A286" s="111" t="s">
        <v>66</v>
      </c>
    </row>
    <row r="287" ht="12.75">
      <c r="A287" s="111" t="s">
        <v>67</v>
      </c>
    </row>
    <row r="288" ht="12.75">
      <c r="A288" s="111" t="s">
        <v>68</v>
      </c>
    </row>
    <row r="289" ht="12.75">
      <c r="A289" s="111" t="s">
        <v>69</v>
      </c>
    </row>
    <row r="290" ht="12.75">
      <c r="A290" s="65" t="s">
        <v>57</v>
      </c>
    </row>
    <row r="291" ht="12.75">
      <c r="A291" s="65" t="s">
        <v>58</v>
      </c>
    </row>
    <row r="292" ht="12.75">
      <c r="A292" s="65" t="s">
        <v>59</v>
      </c>
    </row>
    <row r="293" ht="12.75">
      <c r="A293" s="65" t="s">
        <v>60</v>
      </c>
    </row>
    <row r="294" ht="12.75">
      <c r="A294" s="65" t="s">
        <v>61</v>
      </c>
    </row>
    <row r="295" ht="12.75">
      <c r="A295" s="65" t="s">
        <v>62</v>
      </c>
    </row>
    <row r="296" ht="12.75">
      <c r="A296" s="65" t="s">
        <v>63</v>
      </c>
    </row>
    <row r="297" ht="12.75">
      <c r="A297" s="65" t="s">
        <v>51</v>
      </c>
    </row>
  </sheetData>
  <sheetProtection/>
  <mergeCells count="10">
    <mergeCell ref="I2:J2"/>
    <mergeCell ref="I3:J3"/>
    <mergeCell ref="B76:D76"/>
    <mergeCell ref="H77:I77"/>
    <mergeCell ref="H78:I78"/>
    <mergeCell ref="H5:N5"/>
    <mergeCell ref="A5:F5"/>
    <mergeCell ref="A52:L52"/>
    <mergeCell ref="A53:A54"/>
    <mergeCell ref="K53:L53"/>
  </mergeCells>
  <conditionalFormatting sqref="M12:M50">
    <cfRule type="cellIs" priority="2" dxfId="4" operator="equal" stopIfTrue="1">
      <formula>0</formula>
    </cfRule>
  </conditionalFormatting>
  <conditionalFormatting sqref="N12:N50 M51:M73">
    <cfRule type="cellIs" priority="1" dxfId="4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9" ht="12.75">
      <c r="A2" s="3" t="s">
        <v>71</v>
      </c>
      <c r="G2" s="5" t="s">
        <v>0</v>
      </c>
      <c r="H2" s="169" t="s">
        <v>210</v>
      </c>
      <c r="I2" s="170"/>
    </row>
    <row r="3" spans="1:9" ht="12.75">
      <c r="A3" s="3"/>
      <c r="G3" s="5" t="s">
        <v>77</v>
      </c>
      <c r="H3" s="169" t="s">
        <v>208</v>
      </c>
      <c r="I3" s="170"/>
    </row>
    <row r="4" ht="18" customHeight="1">
      <c r="A4" s="6"/>
    </row>
    <row r="5" spans="1:10" ht="18">
      <c r="A5" s="172" t="s">
        <v>85</v>
      </c>
      <c r="B5" s="172"/>
      <c r="C5" s="172"/>
      <c r="D5" s="172"/>
      <c r="E5" s="172"/>
      <c r="F5" s="7" t="s">
        <v>83</v>
      </c>
      <c r="G5" s="171" t="s">
        <v>86</v>
      </c>
      <c r="H5" s="171"/>
      <c r="I5" s="171"/>
      <c r="J5" s="17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21" t="s">
        <v>115</v>
      </c>
      <c r="E7" s="121"/>
      <c r="F7" s="16" t="s">
        <v>107</v>
      </c>
      <c r="G7" s="16" t="s">
        <v>110</v>
      </c>
      <c r="H7" s="16" t="s">
        <v>112</v>
      </c>
      <c r="I7" s="16" t="s">
        <v>112</v>
      </c>
      <c r="J7" s="122" t="s">
        <v>112</v>
      </c>
    </row>
    <row r="8" spans="1:10" ht="12.75">
      <c r="A8" s="123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4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4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7" t="s">
        <v>181</v>
      </c>
      <c r="G10" s="27" t="s">
        <v>183</v>
      </c>
      <c r="H10" s="27" t="s">
        <v>187</v>
      </c>
      <c r="I10" s="27" t="s">
        <v>184</v>
      </c>
      <c r="J10" s="146" t="s">
        <v>182</v>
      </c>
    </row>
    <row r="11" spans="1:10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125"/>
    </row>
    <row r="12" spans="1:15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4">
        <f>SUM(C12:I12)</f>
        <v>0</v>
      </c>
      <c r="K12" s="64"/>
      <c r="L12" s="64"/>
      <c r="M12" s="64"/>
      <c r="N12" s="64"/>
      <c r="O12" s="64"/>
    </row>
    <row r="13" spans="1:15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4">
        <f aca="true" t="shared" si="0" ref="J13:J50">SUM(C13:I13)</f>
        <v>0</v>
      </c>
      <c r="K13" s="64"/>
      <c r="L13" s="64"/>
      <c r="M13" s="64"/>
      <c r="N13" s="64"/>
      <c r="O13" s="64"/>
    </row>
    <row r="14" spans="1:15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4">
        <f t="shared" si="0"/>
        <v>0</v>
      </c>
      <c r="K14" s="64"/>
      <c r="L14" s="64"/>
      <c r="M14" s="64"/>
      <c r="N14" s="64"/>
      <c r="O14" s="64"/>
    </row>
    <row r="15" spans="1:15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4">
        <f t="shared" si="0"/>
        <v>0</v>
      </c>
      <c r="K15" s="64"/>
      <c r="L15" s="64"/>
      <c r="M15" s="64"/>
      <c r="N15" s="64"/>
      <c r="O15" s="64"/>
    </row>
    <row r="16" spans="1:15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4">
        <f t="shared" si="0"/>
        <v>0</v>
      </c>
      <c r="K16" s="64"/>
      <c r="L16" s="64"/>
      <c r="M16" s="64"/>
      <c r="N16" s="64"/>
      <c r="O16" s="64"/>
    </row>
    <row r="17" spans="1:15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4">
        <f t="shared" si="0"/>
        <v>0</v>
      </c>
      <c r="K17" s="64"/>
      <c r="L17" s="64"/>
      <c r="M17" s="64"/>
      <c r="N17" s="64"/>
      <c r="O17" s="64"/>
    </row>
    <row r="18" spans="1:15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4">
        <f t="shared" si="0"/>
        <v>0</v>
      </c>
      <c r="K18" s="64"/>
      <c r="L18" s="64"/>
      <c r="M18" s="64"/>
      <c r="N18" s="64"/>
      <c r="O18" s="64"/>
    </row>
    <row r="19" spans="1:15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4">
        <f t="shared" si="0"/>
        <v>0</v>
      </c>
      <c r="K19" s="64"/>
      <c r="L19" s="64"/>
      <c r="M19" s="64"/>
      <c r="N19" s="64"/>
      <c r="O19" s="64"/>
    </row>
    <row r="20" spans="1:15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4">
        <f t="shared" si="0"/>
        <v>0</v>
      </c>
      <c r="K20" s="64"/>
      <c r="L20" s="64"/>
      <c r="M20" s="64"/>
      <c r="N20" s="64"/>
      <c r="O20" s="64"/>
    </row>
    <row r="21" spans="1:15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4">
        <f t="shared" si="0"/>
        <v>0</v>
      </c>
      <c r="K21" s="64"/>
      <c r="L21" s="64"/>
      <c r="M21" s="64"/>
      <c r="N21" s="64"/>
      <c r="O21" s="64"/>
    </row>
    <row r="22" spans="1:18" s="45" customFormat="1" ht="12.75" customHeight="1">
      <c r="A22" s="41" t="s">
        <v>38</v>
      </c>
      <c r="B22" s="42">
        <v>81</v>
      </c>
      <c r="C22" s="163">
        <f>9486+1780+198+70440+16772+10062</f>
        <v>108738</v>
      </c>
      <c r="D22" s="43"/>
      <c r="E22" s="163">
        <v>11248</v>
      </c>
      <c r="F22" s="163">
        <v>7345</v>
      </c>
      <c r="G22" s="163"/>
      <c r="H22" s="43"/>
      <c r="I22" s="43"/>
      <c r="J22" s="44">
        <f t="shared" si="0"/>
        <v>127331</v>
      </c>
      <c r="K22" s="64"/>
      <c r="L22" s="64"/>
      <c r="M22" s="64"/>
      <c r="N22" s="64"/>
      <c r="O22" s="64"/>
      <c r="P22" s="2"/>
      <c r="Q22" s="2"/>
      <c r="R22" s="2"/>
    </row>
    <row r="23" spans="1:15" ht="12.75">
      <c r="A23" s="41" t="s">
        <v>39</v>
      </c>
      <c r="B23" s="42">
        <v>82</v>
      </c>
      <c r="C23" s="163">
        <f>23377+5566+3340</f>
        <v>32283</v>
      </c>
      <c r="D23" s="43"/>
      <c r="E23" s="163">
        <v>3340</v>
      </c>
      <c r="F23" s="163">
        <v>1950</v>
      </c>
      <c r="G23" s="163"/>
      <c r="H23" s="43"/>
      <c r="I23" s="43"/>
      <c r="J23" s="44">
        <f t="shared" si="0"/>
        <v>37573</v>
      </c>
      <c r="K23" s="64"/>
      <c r="L23" s="64"/>
      <c r="M23" s="64"/>
      <c r="N23" s="64"/>
      <c r="O23" s="64"/>
    </row>
    <row r="24" spans="1:15" ht="12.75">
      <c r="A24" s="41" t="s">
        <v>32</v>
      </c>
      <c r="B24" s="42">
        <v>83</v>
      </c>
      <c r="C24" s="163">
        <f>161988+38568+23141+2627+153+15+11957+2243+250</f>
        <v>240942</v>
      </c>
      <c r="D24" s="43"/>
      <c r="E24" s="163">
        <v>24904</v>
      </c>
      <c r="F24" s="163">
        <v>11700</v>
      </c>
      <c r="G24" s="163"/>
      <c r="H24" s="43"/>
      <c r="I24" s="43"/>
      <c r="J24" s="44">
        <f t="shared" si="0"/>
        <v>277546</v>
      </c>
      <c r="K24" s="64"/>
      <c r="L24" s="64"/>
      <c r="M24" s="64"/>
      <c r="N24" s="64"/>
      <c r="O24" s="64"/>
    </row>
    <row r="25" spans="1:15" ht="12.75">
      <c r="A25" s="41" t="s">
        <v>33</v>
      </c>
      <c r="B25" s="42">
        <v>84</v>
      </c>
      <c r="C25" s="163">
        <f>1010879+233871+144104+81308+15249+1694</f>
        <v>1487105</v>
      </c>
      <c r="D25" s="43"/>
      <c r="E25" s="163">
        <v>153958</v>
      </c>
      <c r="F25" s="163">
        <v>72800</v>
      </c>
      <c r="G25" s="163"/>
      <c r="H25" s="43"/>
      <c r="I25" s="43"/>
      <c r="J25" s="44">
        <f t="shared" si="0"/>
        <v>1713863</v>
      </c>
      <c r="K25" s="64"/>
      <c r="L25" s="64"/>
      <c r="M25" s="64"/>
      <c r="N25" s="64"/>
      <c r="O25" s="64"/>
    </row>
    <row r="26" spans="1:15" ht="12.75">
      <c r="A26" s="41" t="s">
        <v>34</v>
      </c>
      <c r="B26" s="42">
        <v>85</v>
      </c>
      <c r="C26" s="163">
        <f>119502+28453+17071+9876+1851+206</f>
        <v>176959</v>
      </c>
      <c r="D26" s="43"/>
      <c r="E26" s="163">
        <v>18305</v>
      </c>
      <c r="F26" s="163">
        <v>5135</v>
      </c>
      <c r="G26" s="43"/>
      <c r="H26" s="43"/>
      <c r="I26" s="43"/>
      <c r="J26" s="44">
        <f t="shared" si="0"/>
        <v>200399</v>
      </c>
      <c r="K26" s="64"/>
      <c r="L26" s="64"/>
      <c r="M26" s="64"/>
      <c r="N26" s="64"/>
      <c r="O26" s="64"/>
    </row>
    <row r="27" spans="1:15" ht="12.75">
      <c r="A27" s="41" t="s">
        <v>35</v>
      </c>
      <c r="B27" s="42">
        <v>86</v>
      </c>
      <c r="C27" s="163">
        <f>18066+3388+377+289443+68915+41349</f>
        <v>421538</v>
      </c>
      <c r="D27" s="43"/>
      <c r="E27" s="163">
        <v>43607</v>
      </c>
      <c r="F27" s="163">
        <v>11700</v>
      </c>
      <c r="G27" s="43"/>
      <c r="H27" s="43"/>
      <c r="I27" s="43"/>
      <c r="J27" s="44">
        <f t="shared" si="0"/>
        <v>476845</v>
      </c>
      <c r="K27" s="64"/>
      <c r="L27" s="64"/>
      <c r="M27" s="64"/>
      <c r="N27" s="64"/>
      <c r="O27" s="64"/>
    </row>
    <row r="28" spans="1:15" ht="12.75">
      <c r="A28" s="41" t="s">
        <v>36</v>
      </c>
      <c r="B28" s="42">
        <v>87</v>
      </c>
      <c r="C28" s="163">
        <f>180402+42953+25771+14819+2778+309</f>
        <v>267032</v>
      </c>
      <c r="D28" s="43"/>
      <c r="E28" s="163">
        <v>27623</v>
      </c>
      <c r="F28" s="163">
        <v>6890</v>
      </c>
      <c r="G28" s="43"/>
      <c r="H28" s="43"/>
      <c r="I28" s="43"/>
      <c r="J28" s="44">
        <f t="shared" si="0"/>
        <v>301545</v>
      </c>
      <c r="K28" s="64"/>
      <c r="L28" s="64"/>
      <c r="M28" s="64"/>
      <c r="N28" s="64"/>
      <c r="O28" s="64"/>
    </row>
    <row r="29" spans="1:15" ht="12.75">
      <c r="A29" s="41" t="s">
        <v>37</v>
      </c>
      <c r="B29" s="42">
        <v>88</v>
      </c>
      <c r="C29" s="163">
        <v>181678</v>
      </c>
      <c r="D29" s="43"/>
      <c r="E29" s="163">
        <v>18794</v>
      </c>
      <c r="F29" s="163">
        <v>3900</v>
      </c>
      <c r="G29" s="43"/>
      <c r="H29" s="43"/>
      <c r="I29" s="43"/>
      <c r="J29" s="44">
        <f t="shared" si="0"/>
        <v>204372</v>
      </c>
      <c r="K29" s="64"/>
      <c r="L29" s="64"/>
      <c r="M29" s="64"/>
      <c r="N29" s="64"/>
      <c r="O29" s="64"/>
    </row>
    <row r="30" spans="1:15" ht="12.75">
      <c r="A30" s="41" t="s">
        <v>40</v>
      </c>
      <c r="B30" s="42">
        <v>89</v>
      </c>
      <c r="C30" s="163">
        <v>575073</v>
      </c>
      <c r="D30" s="43"/>
      <c r="E30" s="163">
        <v>59490</v>
      </c>
      <c r="F30" s="163">
        <v>9750</v>
      </c>
      <c r="G30" s="43"/>
      <c r="H30" s="43"/>
      <c r="I30" s="43"/>
      <c r="J30" s="44">
        <f t="shared" si="0"/>
        <v>644313</v>
      </c>
      <c r="K30" s="64"/>
      <c r="L30" s="64"/>
      <c r="M30" s="64"/>
      <c r="N30" s="64"/>
      <c r="O30" s="64"/>
    </row>
    <row r="31" spans="1:15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4">
        <f t="shared" si="0"/>
        <v>0</v>
      </c>
      <c r="K31" s="64"/>
      <c r="L31" s="64"/>
      <c r="M31" s="64"/>
      <c r="N31" s="64"/>
      <c r="O31" s="64"/>
    </row>
    <row r="32" spans="1:15" s="48" customFormat="1" ht="12.75">
      <c r="A32" s="46" t="s">
        <v>73</v>
      </c>
      <c r="B32" s="42">
        <v>92</v>
      </c>
      <c r="C32" s="47">
        <f aca="true" t="shared" si="1" ref="C32:I32">SUM(C12:C31)</f>
        <v>3491348</v>
      </c>
      <c r="D32" s="47">
        <f>SUM(D12:D31)</f>
        <v>0</v>
      </c>
      <c r="E32" s="47">
        <f t="shared" si="1"/>
        <v>361269</v>
      </c>
      <c r="F32" s="47">
        <f t="shared" si="1"/>
        <v>131170</v>
      </c>
      <c r="G32" s="47">
        <v>5256</v>
      </c>
      <c r="H32" s="47">
        <f t="shared" si="1"/>
        <v>0</v>
      </c>
      <c r="I32" s="47">
        <f t="shared" si="1"/>
        <v>0</v>
      </c>
      <c r="J32" s="44">
        <f t="shared" si="0"/>
        <v>3989043</v>
      </c>
      <c r="K32" s="126"/>
      <c r="L32" s="126"/>
      <c r="M32" s="126"/>
      <c r="N32" s="126"/>
      <c r="O32" s="126"/>
    </row>
    <row r="33" spans="1:15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4">
        <f t="shared" si="0"/>
        <v>0</v>
      </c>
      <c r="K33" s="64"/>
      <c r="L33" s="64"/>
      <c r="M33" s="64"/>
      <c r="N33" s="64"/>
      <c r="O33" s="64"/>
    </row>
    <row r="34" spans="1:15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4">
        <f t="shared" si="0"/>
        <v>0</v>
      </c>
      <c r="K34" s="64"/>
      <c r="L34" s="64"/>
      <c r="M34" s="64"/>
      <c r="N34" s="64"/>
      <c r="O34" s="64"/>
    </row>
    <row r="35" spans="1:15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4">
        <f t="shared" si="0"/>
        <v>0</v>
      </c>
      <c r="K35" s="64"/>
      <c r="L35" s="64"/>
      <c r="M35" s="64"/>
      <c r="N35" s="64"/>
      <c r="O35" s="64"/>
    </row>
    <row r="36" spans="1:15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4">
        <f t="shared" si="0"/>
        <v>0</v>
      </c>
      <c r="K36" s="64"/>
      <c r="L36" s="64"/>
      <c r="M36" s="64"/>
      <c r="N36" s="64"/>
      <c r="O36" s="64"/>
    </row>
    <row r="37" spans="1:15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4">
        <f t="shared" si="0"/>
        <v>0</v>
      </c>
      <c r="K37" s="64"/>
      <c r="L37" s="64"/>
      <c r="M37" s="64"/>
      <c r="N37" s="64"/>
      <c r="O37" s="64"/>
    </row>
    <row r="38" spans="1:15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4">
        <f t="shared" si="0"/>
        <v>0</v>
      </c>
      <c r="K38" s="64"/>
      <c r="L38" s="64"/>
      <c r="M38" s="64"/>
      <c r="N38" s="64"/>
      <c r="O38" s="64"/>
    </row>
    <row r="39" spans="1:15" s="48" customFormat="1" ht="12.75">
      <c r="A39" s="46" t="s">
        <v>72</v>
      </c>
      <c r="B39" s="42">
        <v>110</v>
      </c>
      <c r="C39" s="47">
        <f aca="true" t="shared" si="2" ref="C39:I39">SUM(C33:C38)</f>
        <v>0</v>
      </c>
      <c r="D39" s="47">
        <f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4">
        <f t="shared" si="0"/>
        <v>0</v>
      </c>
      <c r="K39" s="126"/>
      <c r="L39" s="126"/>
      <c r="M39" s="126"/>
      <c r="N39" s="126"/>
      <c r="O39" s="126"/>
    </row>
    <row r="40" spans="1:15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4">
        <f t="shared" si="0"/>
        <v>0</v>
      </c>
      <c r="K40" s="64"/>
      <c r="L40" s="64"/>
      <c r="M40" s="64"/>
      <c r="N40" s="64"/>
      <c r="O40" s="64"/>
    </row>
    <row r="41" spans="1:15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4">
        <f t="shared" si="0"/>
        <v>0</v>
      </c>
      <c r="K41" s="64"/>
      <c r="L41" s="64"/>
      <c r="M41" s="64"/>
      <c r="N41" s="64"/>
      <c r="O41" s="64"/>
    </row>
    <row r="42" spans="1:15" ht="12.75">
      <c r="A42" s="50" t="s">
        <v>59</v>
      </c>
      <c r="B42" s="42">
        <v>113</v>
      </c>
      <c r="C42" s="163">
        <f>12740+2389+265+1104402+147401+88441</f>
        <v>1355638</v>
      </c>
      <c r="D42" s="43"/>
      <c r="E42" s="163">
        <f>1593+19110</f>
        <v>20703</v>
      </c>
      <c r="F42" s="163">
        <v>1950</v>
      </c>
      <c r="G42" s="43"/>
      <c r="H42" s="43"/>
      <c r="I42" s="43"/>
      <c r="J42" s="44">
        <f t="shared" si="0"/>
        <v>1378291</v>
      </c>
      <c r="K42" s="64"/>
      <c r="L42" s="64"/>
      <c r="M42" s="64"/>
      <c r="N42" s="64"/>
      <c r="O42" s="64"/>
    </row>
    <row r="43" spans="1:15" ht="12.75">
      <c r="A43" s="50" t="s">
        <v>60</v>
      </c>
      <c r="B43" s="42">
        <v>114</v>
      </c>
      <c r="C43" s="163">
        <f>36549+6853+761+412041+98105+58863</f>
        <v>613172</v>
      </c>
      <c r="D43" s="43"/>
      <c r="E43" s="163">
        <f>4569+58863</f>
        <v>63432</v>
      </c>
      <c r="F43" s="163">
        <v>7800</v>
      </c>
      <c r="G43" s="43"/>
      <c r="H43" s="43"/>
      <c r="I43" s="43"/>
      <c r="J43" s="44">
        <f t="shared" si="0"/>
        <v>684404</v>
      </c>
      <c r="K43" s="64"/>
      <c r="L43" s="64"/>
      <c r="M43" s="64"/>
      <c r="N43" s="64"/>
      <c r="O43" s="64"/>
    </row>
    <row r="44" spans="1:15" ht="12.75">
      <c r="A44" s="50" t="s">
        <v>61</v>
      </c>
      <c r="B44" s="42">
        <v>115</v>
      </c>
      <c r="C44" s="163">
        <f>113469+21275+2365+2208140+467061+280235</f>
        <v>3092545</v>
      </c>
      <c r="D44" s="43"/>
      <c r="E44" s="163">
        <f>14186+245021</f>
        <v>259207</v>
      </c>
      <c r="F44" s="163">
        <v>31200</v>
      </c>
      <c r="G44" s="43"/>
      <c r="H44" s="43"/>
      <c r="I44" s="43"/>
      <c r="J44" s="44">
        <f t="shared" si="0"/>
        <v>3382952</v>
      </c>
      <c r="K44" s="64"/>
      <c r="L44" s="64"/>
      <c r="M44" s="64"/>
      <c r="N44" s="64"/>
      <c r="O44" s="64"/>
    </row>
    <row r="45" spans="1:15" ht="12.75">
      <c r="A45" s="50" t="s">
        <v>62</v>
      </c>
      <c r="B45" s="42">
        <v>119</v>
      </c>
      <c r="C45" s="163">
        <f>389903+73107+8121+4892242+1152370+698015</f>
        <v>7213758</v>
      </c>
      <c r="D45" s="43"/>
      <c r="E45" s="163">
        <f>48733+697143</f>
        <v>745876</v>
      </c>
      <c r="F45" s="163">
        <v>141245</v>
      </c>
      <c r="G45" s="43"/>
      <c r="H45" s="43"/>
      <c r="I45" s="43"/>
      <c r="J45" s="44">
        <f t="shared" si="0"/>
        <v>8100879</v>
      </c>
      <c r="K45" s="64"/>
      <c r="L45" s="64"/>
      <c r="M45" s="64"/>
      <c r="N45" s="64"/>
      <c r="O45" s="64"/>
    </row>
    <row r="46" spans="1:15" ht="12.75">
      <c r="A46" s="50" t="s">
        <v>63</v>
      </c>
      <c r="B46" s="42">
        <v>120</v>
      </c>
      <c r="C46" s="163">
        <f>19390513+4593653+2688403+1391177+254501+28175+73651+13810+1535</f>
        <v>28435418</v>
      </c>
      <c r="D46" s="43"/>
      <c r="E46" s="163">
        <f>9206+2639349+165512</f>
        <v>2814067</v>
      </c>
      <c r="F46" s="163">
        <v>950625</v>
      </c>
      <c r="G46" s="43"/>
      <c r="H46" s="43"/>
      <c r="I46" s="43"/>
      <c r="J46" s="44">
        <f t="shared" si="0"/>
        <v>32200110</v>
      </c>
      <c r="K46" s="64"/>
      <c r="L46" s="64"/>
      <c r="M46" s="64"/>
      <c r="N46" s="64"/>
      <c r="O46" s="64"/>
    </row>
    <row r="47" spans="1:15" s="48" customFormat="1" ht="12.75">
      <c r="A47" s="46" t="s">
        <v>74</v>
      </c>
      <c r="B47" s="47">
        <v>121</v>
      </c>
      <c r="C47" s="47">
        <f>SUM(C40:C46)</f>
        <v>40710531</v>
      </c>
      <c r="D47" s="47">
        <f>SUM(D40:D46)</f>
        <v>0</v>
      </c>
      <c r="E47" s="47">
        <f>SUM(E40:E46)</f>
        <v>3903285</v>
      </c>
      <c r="F47" s="47">
        <f>SUM(F40:F46)</f>
        <v>1132820</v>
      </c>
      <c r="G47" s="47">
        <v>1211611</v>
      </c>
      <c r="H47" s="47">
        <f>SUM(H40:H46)</f>
        <v>0</v>
      </c>
      <c r="I47" s="47">
        <f>SUM(I40:I46)</f>
        <v>0</v>
      </c>
      <c r="J47" s="44">
        <f t="shared" si="0"/>
        <v>46958247</v>
      </c>
      <c r="K47" s="126"/>
      <c r="L47" s="126"/>
      <c r="M47" s="126"/>
      <c r="N47" s="126"/>
      <c r="O47" s="126"/>
    </row>
    <row r="48" spans="1:15" s="48" customFormat="1" ht="12.75">
      <c r="A48" s="46" t="s">
        <v>119</v>
      </c>
      <c r="B48" s="47">
        <v>152</v>
      </c>
      <c r="C48" s="47">
        <f aca="true" t="shared" si="3" ref="C48:J48">C32+C39+C47</f>
        <v>44201879</v>
      </c>
      <c r="D48" s="47">
        <f t="shared" si="3"/>
        <v>0</v>
      </c>
      <c r="E48" s="47">
        <f t="shared" si="3"/>
        <v>4264554</v>
      </c>
      <c r="F48" s="47">
        <f t="shared" si="3"/>
        <v>1263990</v>
      </c>
      <c r="G48" s="47">
        <f t="shared" si="3"/>
        <v>1216867</v>
      </c>
      <c r="H48" s="47">
        <f t="shared" si="3"/>
        <v>0</v>
      </c>
      <c r="I48" s="47">
        <f t="shared" si="3"/>
        <v>0</v>
      </c>
      <c r="J48" s="47">
        <f t="shared" si="3"/>
        <v>50947290</v>
      </c>
      <c r="K48" s="126"/>
      <c r="L48" s="126"/>
      <c r="M48" s="126"/>
      <c r="N48" s="126"/>
      <c r="O48" s="126"/>
    </row>
    <row r="49" spans="1:15" s="48" customFormat="1" ht="12.75">
      <c r="A49" s="46" t="s">
        <v>51</v>
      </c>
      <c r="B49" s="47">
        <v>158</v>
      </c>
      <c r="C49" s="166">
        <v>136378</v>
      </c>
      <c r="D49" s="51"/>
      <c r="E49" s="163">
        <v>14108</v>
      </c>
      <c r="F49" s="163">
        <v>2438</v>
      </c>
      <c r="G49" s="51"/>
      <c r="H49" s="51"/>
      <c r="I49" s="51"/>
      <c r="J49" s="44">
        <f t="shared" si="0"/>
        <v>152924</v>
      </c>
      <c r="K49" s="126"/>
      <c r="L49" s="126"/>
      <c r="M49" s="126"/>
      <c r="N49" s="126"/>
      <c r="O49" s="126"/>
    </row>
    <row r="50" spans="1:15" s="48" customFormat="1" ht="12.75">
      <c r="A50" s="46" t="s">
        <v>75</v>
      </c>
      <c r="B50" s="47">
        <v>159</v>
      </c>
      <c r="C50" s="47">
        <f aca="true" t="shared" si="4" ref="C50:I50">C48+C49</f>
        <v>44338257</v>
      </c>
      <c r="D50" s="47">
        <f>D48+D49</f>
        <v>0</v>
      </c>
      <c r="E50" s="47">
        <f t="shared" si="4"/>
        <v>4278662</v>
      </c>
      <c r="F50" s="47">
        <f t="shared" si="4"/>
        <v>1266428</v>
      </c>
      <c r="G50" s="47">
        <v>1216867</v>
      </c>
      <c r="H50" s="47">
        <f t="shared" si="4"/>
        <v>0</v>
      </c>
      <c r="I50" s="47">
        <f t="shared" si="4"/>
        <v>0</v>
      </c>
      <c r="J50" s="44">
        <f t="shared" si="0"/>
        <v>51100214</v>
      </c>
      <c r="K50" s="126"/>
      <c r="L50" s="126"/>
      <c r="M50" s="126"/>
      <c r="N50" s="126"/>
      <c r="O50" s="126"/>
    </row>
    <row r="51" spans="1:14" s="48" customFormat="1" ht="12.75">
      <c r="A51" s="113"/>
      <c r="B51" s="114"/>
      <c r="C51" s="114"/>
      <c r="D51" s="114"/>
      <c r="E51" s="114"/>
      <c r="F51" s="114"/>
      <c r="G51" s="114"/>
      <c r="H51" s="114"/>
      <c r="I51" s="114"/>
      <c r="J51" s="115"/>
      <c r="K51" s="52"/>
      <c r="L51" s="52"/>
      <c r="M51" s="52"/>
      <c r="N51" s="52"/>
    </row>
    <row r="52" spans="1:14" s="48" customFormat="1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39"/>
      <c r="N52" s="135"/>
    </row>
    <row r="53" spans="1:14" s="48" customFormat="1" ht="12.75">
      <c r="A53" s="178" t="s">
        <v>3</v>
      </c>
      <c r="B53" s="136" t="s">
        <v>49</v>
      </c>
      <c r="C53" s="148" t="s">
        <v>188</v>
      </c>
      <c r="D53" s="148" t="s">
        <v>189</v>
      </c>
      <c r="E53" s="137" t="s">
        <v>106</v>
      </c>
      <c r="F53" s="148" t="s">
        <v>190</v>
      </c>
      <c r="G53" s="148" t="s">
        <v>191</v>
      </c>
      <c r="H53" s="148" t="s">
        <v>192</v>
      </c>
      <c r="I53" s="148" t="s">
        <v>192</v>
      </c>
      <c r="J53" s="148" t="s">
        <v>192</v>
      </c>
      <c r="K53" s="191" t="s">
        <v>160</v>
      </c>
      <c r="L53" s="192"/>
      <c r="M53" s="127"/>
      <c r="N53" s="128"/>
    </row>
    <row r="54" spans="1:14" s="48" customFormat="1" ht="11.25" customHeight="1">
      <c r="A54" s="179"/>
      <c r="B54" s="54" t="s">
        <v>50</v>
      </c>
      <c r="C54" s="55" t="s">
        <v>105</v>
      </c>
      <c r="D54" s="55" t="s">
        <v>105</v>
      </c>
      <c r="E54" s="55" t="s">
        <v>105</v>
      </c>
      <c r="F54" s="55" t="s">
        <v>109</v>
      </c>
      <c r="G54" s="55" t="s">
        <v>109</v>
      </c>
      <c r="H54" s="149" t="s">
        <v>193</v>
      </c>
      <c r="I54" s="149" t="s">
        <v>194</v>
      </c>
      <c r="J54" s="117" t="s">
        <v>114</v>
      </c>
      <c r="K54" s="54" t="s">
        <v>162</v>
      </c>
      <c r="L54" s="129" t="s">
        <v>161</v>
      </c>
      <c r="M54" s="127"/>
      <c r="N54" s="128"/>
    </row>
    <row r="55" spans="1:16" s="48" customFormat="1" ht="12.75">
      <c r="A55" s="56" t="s">
        <v>62</v>
      </c>
      <c r="B55" s="57">
        <f>IF(A55="","",VLOOKUP(A55,$A$12:$B$50,2,FALSE))</f>
        <v>119</v>
      </c>
      <c r="C55" s="57">
        <v>138285</v>
      </c>
      <c r="D55" s="57"/>
      <c r="E55" s="57">
        <v>14305</v>
      </c>
      <c r="F55" s="57">
        <v>3900</v>
      </c>
      <c r="G55" s="57"/>
      <c r="H55" s="57"/>
      <c r="I55" s="57"/>
      <c r="J55" s="130">
        <f aca="true" t="shared" si="5" ref="J55:J61">SUM(C55:I55)</f>
        <v>156490</v>
      </c>
      <c r="K55" s="57"/>
      <c r="L55" s="58"/>
      <c r="M55" s="131"/>
      <c r="N55" s="114"/>
      <c r="O55" s="116"/>
      <c r="P55" s="132"/>
    </row>
    <row r="56" spans="1:16" s="48" customFormat="1" ht="12.75">
      <c r="A56" s="60" t="s">
        <v>63</v>
      </c>
      <c r="B56" s="61">
        <f>IF(A56="","",VLOOKUP(A56,$A$12:$B$50,2,FALSE))</f>
        <v>120</v>
      </c>
      <c r="C56" s="61">
        <v>1459538</v>
      </c>
      <c r="D56" s="61"/>
      <c r="E56" s="61">
        <v>53459</v>
      </c>
      <c r="F56" s="61">
        <v>17940</v>
      </c>
      <c r="G56" s="61"/>
      <c r="H56" s="61"/>
      <c r="I56" s="61"/>
      <c r="J56" s="130">
        <f t="shared" si="5"/>
        <v>1530937</v>
      </c>
      <c r="K56" s="61"/>
      <c r="L56" s="62"/>
      <c r="M56" s="131"/>
      <c r="N56" s="114"/>
      <c r="O56" s="116"/>
      <c r="P56" s="132"/>
    </row>
    <row r="57" spans="1:16" s="48" customFormat="1" ht="12.75">
      <c r="A57" s="60" t="s">
        <v>61</v>
      </c>
      <c r="B57" s="61">
        <f>IF(A57="","",VLOOKUP(A57,$A$12:$B$50,2,FALSE))</f>
        <v>75</v>
      </c>
      <c r="C57" s="61">
        <v>882672</v>
      </c>
      <c r="D57" s="61"/>
      <c r="E57" s="61">
        <v>33702</v>
      </c>
      <c r="F57" s="61">
        <v>3900</v>
      </c>
      <c r="G57" s="61"/>
      <c r="H57" s="61"/>
      <c r="I57" s="61"/>
      <c r="J57" s="130">
        <f t="shared" si="5"/>
        <v>920274</v>
      </c>
      <c r="K57" s="61"/>
      <c r="L57" s="62"/>
      <c r="M57" s="131"/>
      <c r="N57" s="114"/>
      <c r="O57" s="116"/>
      <c r="P57" s="132"/>
    </row>
    <row r="58" spans="1:16" s="48" customFormat="1" ht="12.75">
      <c r="A58" s="56" t="s">
        <v>38</v>
      </c>
      <c r="B58" s="57">
        <f>IF(A58="","",VLOOKUP(A58,'02M'!$A$12:$B$50,2,FALSE))</f>
        <v>81</v>
      </c>
      <c r="C58" s="57">
        <v>17897</v>
      </c>
      <c r="D58" s="57"/>
      <c r="E58" s="57">
        <v>1851</v>
      </c>
      <c r="F58" s="57">
        <v>1495</v>
      </c>
      <c r="G58" s="57"/>
      <c r="H58" s="57"/>
      <c r="I58" s="57"/>
      <c r="J58" s="130">
        <f t="shared" si="5"/>
        <v>21243</v>
      </c>
      <c r="K58" s="57"/>
      <c r="L58" s="58"/>
      <c r="M58" s="131"/>
      <c r="N58" s="114"/>
      <c r="O58" s="116"/>
      <c r="P58" s="132"/>
    </row>
    <row r="59" spans="1:16" s="48" customFormat="1" ht="12.75">
      <c r="A59" s="60" t="s">
        <v>33</v>
      </c>
      <c r="B59" s="61">
        <f>IF(A59="","",VLOOKUP(A59,'02M'!$A$12:$B$50,2,FALSE))</f>
        <v>84</v>
      </c>
      <c r="C59" s="61">
        <v>111475</v>
      </c>
      <c r="D59" s="61"/>
      <c r="E59" s="61">
        <v>11532</v>
      </c>
      <c r="F59" s="61">
        <v>6695</v>
      </c>
      <c r="G59" s="61"/>
      <c r="H59" s="61"/>
      <c r="I59" s="61"/>
      <c r="J59" s="130">
        <f t="shared" si="5"/>
        <v>129702</v>
      </c>
      <c r="K59" s="61"/>
      <c r="L59" s="62"/>
      <c r="M59" s="131"/>
      <c r="N59" s="114"/>
      <c r="O59" s="116"/>
      <c r="P59" s="132"/>
    </row>
    <row r="60" spans="1:16" s="48" customFormat="1" ht="12.75">
      <c r="A60" s="60" t="s">
        <v>36</v>
      </c>
      <c r="B60" s="61">
        <f>IF(A60="","",VLOOKUP(A60,'02M'!$A$12:$B$50,2,FALSE))</f>
        <v>87</v>
      </c>
      <c r="C60" s="61">
        <v>33315</v>
      </c>
      <c r="D60" s="61"/>
      <c r="E60" s="61">
        <v>3446</v>
      </c>
      <c r="F60" s="61">
        <v>1040</v>
      </c>
      <c r="G60" s="61"/>
      <c r="H60" s="61"/>
      <c r="I60" s="61"/>
      <c r="J60" s="130">
        <f t="shared" si="5"/>
        <v>37801</v>
      </c>
      <c r="K60" s="61"/>
      <c r="L60" s="62"/>
      <c r="M60" s="131"/>
      <c r="N60" s="114"/>
      <c r="O60" s="116"/>
      <c r="P60" s="132"/>
    </row>
    <row r="61" spans="1:16" ht="12.75">
      <c r="A61" s="60" t="s">
        <v>34</v>
      </c>
      <c r="B61" s="61">
        <f>IF(A61="","",VLOOKUP(A61,'02M'!$A$12:$B$50,2,FALSE))</f>
        <v>85</v>
      </c>
      <c r="C61" s="61">
        <v>38518</v>
      </c>
      <c r="D61" s="61"/>
      <c r="E61" s="61">
        <v>3984</v>
      </c>
      <c r="F61" s="61">
        <v>1235</v>
      </c>
      <c r="G61" s="61"/>
      <c r="H61" s="61"/>
      <c r="I61" s="61"/>
      <c r="J61" s="130">
        <f t="shared" si="5"/>
        <v>43737</v>
      </c>
      <c r="K61" s="61"/>
      <c r="L61" s="62"/>
      <c r="M61" s="131"/>
      <c r="N61" s="114"/>
      <c r="O61" s="134"/>
      <c r="P61" s="45"/>
    </row>
    <row r="63" spans="1:6" ht="12.75">
      <c r="A63" s="63" t="s">
        <v>21</v>
      </c>
      <c r="B63" s="175" t="s">
        <v>209</v>
      </c>
      <c r="C63" s="175"/>
      <c r="D63" s="175"/>
      <c r="E63" s="175"/>
      <c r="F63" s="64"/>
    </row>
    <row r="64" spans="8:9" ht="12.75">
      <c r="H64" s="174" t="s">
        <v>211</v>
      </c>
      <c r="I64" s="174"/>
    </row>
    <row r="65" spans="8:9" ht="12.75">
      <c r="H65" s="173" t="s">
        <v>48</v>
      </c>
      <c r="I65" s="173"/>
    </row>
  </sheetData>
  <sheetProtection/>
  <mergeCells count="10">
    <mergeCell ref="H2:I2"/>
    <mergeCell ref="H3:I3"/>
    <mergeCell ref="B63:E63"/>
    <mergeCell ref="H64:I64"/>
    <mergeCell ref="K53:L53"/>
    <mergeCell ref="A52:L52"/>
    <mergeCell ref="H65:I65"/>
    <mergeCell ref="A5:E5"/>
    <mergeCell ref="G5:J5"/>
    <mergeCell ref="A53:A54"/>
  </mergeCells>
  <dataValidations count="1">
    <dataValidation type="list" allowBlank="1" showInputMessage="1" showErrorMessage="1" sqref="A55:A61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69" t="s">
        <v>210</v>
      </c>
      <c r="L2" s="170"/>
    </row>
    <row r="3" spans="1:12" ht="12.75">
      <c r="A3" s="3"/>
      <c r="H3" s="4"/>
      <c r="I3" s="4"/>
      <c r="J3" s="5" t="s">
        <v>77</v>
      </c>
      <c r="K3" s="169" t="s">
        <v>208</v>
      </c>
      <c r="L3" s="170"/>
    </row>
    <row r="4" ht="18" customHeight="1">
      <c r="A4" s="6"/>
    </row>
    <row r="5" spans="1:13" ht="18">
      <c r="A5" s="172" t="s">
        <v>82</v>
      </c>
      <c r="B5" s="172"/>
      <c r="C5" s="172"/>
      <c r="D5" s="172"/>
      <c r="E5" s="7" t="s">
        <v>83</v>
      </c>
      <c r="F5" s="171" t="s">
        <v>87</v>
      </c>
      <c r="G5" s="171"/>
      <c r="H5" s="171"/>
      <c r="I5" s="171"/>
      <c r="J5" s="171"/>
      <c r="K5" s="171"/>
      <c r="L5" s="171"/>
      <c r="M5" s="17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5" t="s">
        <v>121</v>
      </c>
      <c r="N7" s="196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9" t="s">
        <v>122</v>
      </c>
      <c r="N9" s="190"/>
    </row>
    <row r="10" spans="1:14" ht="13.5" thickBot="1">
      <c r="A10" s="25"/>
      <c r="B10" s="26"/>
      <c r="C10" s="176" t="s">
        <v>101</v>
      </c>
      <c r="D10" s="177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32"/>
      <c r="N10" s="33"/>
    </row>
    <row r="11" spans="1:14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9"/>
    </row>
    <row r="12" spans="1:14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3"/>
      <c r="K12" s="44">
        <f>SUM(C12:J12)</f>
        <v>0</v>
      </c>
      <c r="L12" s="43"/>
      <c r="M12" s="43"/>
      <c r="N12" s="43"/>
    </row>
    <row r="13" spans="1:14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3"/>
      <c r="K13" s="44">
        <f aca="true" t="shared" si="0" ref="K13:K48">SUM(C13:J13)</f>
        <v>0</v>
      </c>
      <c r="L13" s="43"/>
      <c r="M13" s="43"/>
      <c r="N13" s="43"/>
    </row>
    <row r="14" spans="1:14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3"/>
      <c r="K14" s="44">
        <f t="shared" si="0"/>
        <v>0</v>
      </c>
      <c r="L14" s="43"/>
      <c r="M14" s="43"/>
      <c r="N14" s="43"/>
    </row>
    <row r="15" spans="1:14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3"/>
      <c r="K15" s="44">
        <f t="shared" si="0"/>
        <v>0</v>
      </c>
      <c r="L15" s="43"/>
      <c r="M15" s="43"/>
      <c r="N15" s="43"/>
    </row>
    <row r="16" spans="1:14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3"/>
      <c r="K16" s="44">
        <f t="shared" si="0"/>
        <v>0</v>
      </c>
      <c r="L16" s="43"/>
      <c r="M16" s="43"/>
      <c r="N16" s="43"/>
    </row>
    <row r="17" spans="1:14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3"/>
      <c r="K17" s="44">
        <f t="shared" si="0"/>
        <v>0</v>
      </c>
      <c r="L17" s="43"/>
      <c r="M17" s="43"/>
      <c r="N17" s="43"/>
    </row>
    <row r="18" spans="1:14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3"/>
      <c r="K18" s="44">
        <f t="shared" si="0"/>
        <v>0</v>
      </c>
      <c r="L18" s="43"/>
      <c r="M18" s="43"/>
      <c r="N18" s="43"/>
    </row>
    <row r="19" spans="1:14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3"/>
      <c r="K19" s="44">
        <f t="shared" si="0"/>
        <v>0</v>
      </c>
      <c r="L19" s="43"/>
      <c r="M19" s="43"/>
      <c r="N19" s="43"/>
    </row>
    <row r="20" spans="1:14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3"/>
      <c r="K20" s="44">
        <f t="shared" si="0"/>
        <v>0</v>
      </c>
      <c r="L20" s="43"/>
      <c r="M20" s="43"/>
      <c r="N20" s="43"/>
    </row>
    <row r="21" spans="1:14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3"/>
      <c r="K21" s="44">
        <f t="shared" si="0"/>
        <v>0</v>
      </c>
      <c r="L21" s="43"/>
      <c r="M21" s="43"/>
      <c r="N21" s="43"/>
    </row>
    <row r="22" spans="1:21" s="45" customFormat="1" ht="12.75" customHeight="1">
      <c r="A22" s="41" t="s">
        <v>38</v>
      </c>
      <c r="B22" s="42">
        <v>81</v>
      </c>
      <c r="C22" s="163">
        <v>138646</v>
      </c>
      <c r="D22" s="43"/>
      <c r="E22" s="43"/>
      <c r="F22" s="43"/>
      <c r="G22" s="43"/>
      <c r="H22" s="43"/>
      <c r="I22" s="43"/>
      <c r="J22" s="164"/>
      <c r="K22" s="44">
        <f aca="true" t="shared" si="1" ref="K22:K30">SUM(C22:I22)</f>
        <v>138646</v>
      </c>
      <c r="L22" s="43"/>
      <c r="M22" s="43">
        <v>3</v>
      </c>
      <c r="N22" s="43">
        <v>4</v>
      </c>
      <c r="O22" s="2"/>
      <c r="P22" s="2"/>
      <c r="Q22" s="2"/>
      <c r="R22" s="2"/>
      <c r="S22" s="2"/>
      <c r="T22" s="2"/>
      <c r="U22" s="2"/>
    </row>
    <row r="23" spans="1:14" ht="12.75">
      <c r="A23" s="41" t="s">
        <v>39</v>
      </c>
      <c r="B23" s="42">
        <v>82</v>
      </c>
      <c r="C23" s="163"/>
      <c r="D23" s="43"/>
      <c r="E23" s="43"/>
      <c r="F23" s="43"/>
      <c r="G23" s="43"/>
      <c r="H23" s="43"/>
      <c r="I23" s="43"/>
      <c r="J23" s="164"/>
      <c r="K23" s="44">
        <f t="shared" si="1"/>
        <v>0</v>
      </c>
      <c r="L23" s="43"/>
      <c r="M23" s="43">
        <v>1</v>
      </c>
      <c r="N23" s="43">
        <v>1</v>
      </c>
    </row>
    <row r="24" spans="1:14" ht="12.75">
      <c r="A24" s="41" t="s">
        <v>32</v>
      </c>
      <c r="B24" s="42">
        <v>83</v>
      </c>
      <c r="C24" s="163">
        <v>300013</v>
      </c>
      <c r="D24" s="43"/>
      <c r="E24" s="43"/>
      <c r="F24" s="43"/>
      <c r="G24" s="43"/>
      <c r="H24" s="43"/>
      <c r="I24" s="43"/>
      <c r="J24" s="164"/>
      <c r="K24" s="44">
        <f t="shared" si="1"/>
        <v>300013</v>
      </c>
      <c r="L24" s="43"/>
      <c r="M24" s="43">
        <v>5</v>
      </c>
      <c r="N24" s="43">
        <v>7</v>
      </c>
    </row>
    <row r="25" spans="1:14" ht="12.75">
      <c r="A25" s="41" t="s">
        <v>33</v>
      </c>
      <c r="B25" s="42">
        <v>84</v>
      </c>
      <c r="C25" s="163">
        <v>1952912</v>
      </c>
      <c r="D25" s="43"/>
      <c r="E25" s="43"/>
      <c r="F25" s="43"/>
      <c r="G25" s="43"/>
      <c r="H25" s="43"/>
      <c r="I25" s="43"/>
      <c r="J25" s="164"/>
      <c r="K25" s="44">
        <f t="shared" si="1"/>
        <v>1952912</v>
      </c>
      <c r="L25" s="43"/>
      <c r="M25" s="43">
        <v>38</v>
      </c>
      <c r="N25" s="43">
        <v>28</v>
      </c>
    </row>
    <row r="26" spans="1:14" ht="12.75">
      <c r="A26" s="41" t="s">
        <v>34</v>
      </c>
      <c r="B26" s="42">
        <v>85</v>
      </c>
      <c r="C26" s="163">
        <v>246908</v>
      </c>
      <c r="D26" s="43"/>
      <c r="E26" s="43"/>
      <c r="F26" s="43"/>
      <c r="G26" s="43"/>
      <c r="H26" s="43"/>
      <c r="I26" s="43"/>
      <c r="J26" s="164"/>
      <c r="K26" s="44">
        <f t="shared" si="1"/>
        <v>246908</v>
      </c>
      <c r="L26" s="43"/>
      <c r="M26" s="43">
        <v>3</v>
      </c>
      <c r="N26" s="43">
        <v>1</v>
      </c>
    </row>
    <row r="27" spans="1:14" ht="12.75">
      <c r="A27" s="41" t="s">
        <v>35</v>
      </c>
      <c r="B27" s="42">
        <v>86</v>
      </c>
      <c r="C27" s="163">
        <v>476905</v>
      </c>
      <c r="D27" s="43"/>
      <c r="E27" s="43"/>
      <c r="F27" s="43"/>
      <c r="G27" s="43"/>
      <c r="H27" s="43"/>
      <c r="I27" s="43"/>
      <c r="J27" s="164"/>
      <c r="K27" s="44">
        <f t="shared" si="1"/>
        <v>476905</v>
      </c>
      <c r="L27" s="43"/>
      <c r="M27" s="43">
        <v>6</v>
      </c>
      <c r="N27" s="43">
        <v>4</v>
      </c>
    </row>
    <row r="28" spans="1:14" ht="12.75">
      <c r="A28" s="41" t="s">
        <v>36</v>
      </c>
      <c r="B28" s="42">
        <v>87</v>
      </c>
      <c r="C28" s="163">
        <v>290109</v>
      </c>
      <c r="D28" s="43"/>
      <c r="E28" s="43"/>
      <c r="F28" s="43"/>
      <c r="G28" s="43"/>
      <c r="H28" s="43"/>
      <c r="I28" s="43"/>
      <c r="J28" s="164"/>
      <c r="K28" s="44">
        <f t="shared" si="1"/>
        <v>290109</v>
      </c>
      <c r="L28" s="43"/>
      <c r="M28" s="43">
        <v>2</v>
      </c>
      <c r="N28" s="43">
        <v>1</v>
      </c>
    </row>
    <row r="29" spans="1:14" ht="12.75">
      <c r="A29" s="41" t="s">
        <v>37</v>
      </c>
      <c r="B29" s="42">
        <v>88</v>
      </c>
      <c r="C29" s="163">
        <v>288954</v>
      </c>
      <c r="D29" s="43"/>
      <c r="E29" s="43"/>
      <c r="F29" s="43"/>
      <c r="G29" s="43"/>
      <c r="H29" s="43"/>
      <c r="I29" s="43"/>
      <c r="J29" s="164"/>
      <c r="K29" s="44">
        <f t="shared" si="1"/>
        <v>288954</v>
      </c>
      <c r="L29" s="43"/>
      <c r="M29" s="43">
        <v>2</v>
      </c>
      <c r="N29" s="43">
        <v>3</v>
      </c>
    </row>
    <row r="30" spans="1:14" ht="12.75">
      <c r="A30" s="41" t="s">
        <v>40</v>
      </c>
      <c r="B30" s="42">
        <v>89</v>
      </c>
      <c r="C30" s="163">
        <v>385723</v>
      </c>
      <c r="D30" s="43"/>
      <c r="E30" s="43"/>
      <c r="F30" s="43"/>
      <c r="G30" s="43"/>
      <c r="H30" s="43"/>
      <c r="I30" s="43"/>
      <c r="J30" s="164"/>
      <c r="K30" s="44">
        <f t="shared" si="1"/>
        <v>385723</v>
      </c>
      <c r="L30" s="43"/>
      <c r="M30" s="43">
        <v>4</v>
      </c>
      <c r="N30" s="43">
        <v>0</v>
      </c>
    </row>
    <row r="31" spans="1:14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3"/>
      <c r="K31" s="44">
        <f t="shared" si="0"/>
        <v>0</v>
      </c>
      <c r="L31" s="43"/>
      <c r="M31" s="43"/>
      <c r="N31" s="43">
        <v>0</v>
      </c>
    </row>
    <row r="32" spans="1:14" s="48" customFormat="1" ht="12.75">
      <c r="A32" s="46" t="s">
        <v>73</v>
      </c>
      <c r="B32" s="42">
        <v>92</v>
      </c>
      <c r="C32" s="47">
        <f>SUM(C12:C31)</f>
        <v>4080170</v>
      </c>
      <c r="D32" s="47">
        <f aca="true" t="shared" si="2" ref="D32:J32">SUM(D12:D31)</f>
        <v>0</v>
      </c>
      <c r="E32" s="47">
        <f t="shared" si="2"/>
        <v>0</v>
      </c>
      <c r="F32" s="47">
        <f t="shared" si="2"/>
        <v>0</v>
      </c>
      <c r="G32" s="47">
        <f t="shared" si="2"/>
        <v>0</v>
      </c>
      <c r="H32" s="47">
        <f t="shared" si="2"/>
        <v>0</v>
      </c>
      <c r="I32" s="47">
        <f t="shared" si="2"/>
        <v>0</v>
      </c>
      <c r="J32" s="47">
        <f t="shared" si="2"/>
        <v>0</v>
      </c>
      <c r="K32" s="44">
        <f t="shared" si="0"/>
        <v>4080170</v>
      </c>
      <c r="L32" s="47">
        <f>SUM(L12:L31)</f>
        <v>0</v>
      </c>
      <c r="M32" s="47">
        <f>SUM(M12:M31)</f>
        <v>64</v>
      </c>
      <c r="N32" s="47">
        <f>SUM(N12:N31)</f>
        <v>49</v>
      </c>
    </row>
    <row r="33" spans="1:14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3"/>
      <c r="K33" s="44">
        <f t="shared" si="0"/>
        <v>0</v>
      </c>
      <c r="L33" s="43"/>
      <c r="M33" s="43"/>
      <c r="N33" s="43"/>
    </row>
    <row r="34" spans="1:14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3"/>
      <c r="K34" s="44">
        <f t="shared" si="0"/>
        <v>0</v>
      </c>
      <c r="L34" s="43"/>
      <c r="M34" s="43"/>
      <c r="N34" s="43"/>
    </row>
    <row r="35" spans="1:14" s="48" customFormat="1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3"/>
      <c r="K35" s="44">
        <f t="shared" si="0"/>
        <v>0</v>
      </c>
      <c r="L35" s="43"/>
      <c r="M35" s="43"/>
      <c r="N35" s="43"/>
    </row>
    <row r="36" spans="1:14" s="48" customFormat="1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3"/>
      <c r="K36" s="44">
        <f t="shared" si="0"/>
        <v>0</v>
      </c>
      <c r="L36" s="43"/>
      <c r="M36" s="43"/>
      <c r="N36" s="43"/>
    </row>
    <row r="37" spans="1:14" s="48" customFormat="1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3"/>
      <c r="K37" s="44">
        <f t="shared" si="0"/>
        <v>0</v>
      </c>
      <c r="L37" s="43"/>
      <c r="M37" s="43"/>
      <c r="N37" s="43"/>
    </row>
    <row r="38" spans="1:14" s="112" customFormat="1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3"/>
      <c r="K38" s="44">
        <f t="shared" si="0"/>
        <v>0</v>
      </c>
      <c r="L38" s="43"/>
      <c r="M38" s="43"/>
      <c r="N38" s="43"/>
    </row>
    <row r="39" spans="1:14" ht="12.75">
      <c r="A39" s="46" t="s">
        <v>72</v>
      </c>
      <c r="B39" s="42">
        <v>110</v>
      </c>
      <c r="C39" s="47">
        <f>SUM(C33:C38)</f>
        <v>0</v>
      </c>
      <c r="D39" s="47">
        <f aca="true" t="shared" si="3" ref="D39:J39">SUM(D33:D38)</f>
        <v>0</v>
      </c>
      <c r="E39" s="47">
        <f t="shared" si="3"/>
        <v>0</v>
      </c>
      <c r="F39" s="47">
        <f t="shared" si="3"/>
        <v>0</v>
      </c>
      <c r="G39" s="47">
        <f t="shared" si="3"/>
        <v>0</v>
      </c>
      <c r="H39" s="47">
        <f t="shared" si="3"/>
        <v>0</v>
      </c>
      <c r="I39" s="47">
        <f t="shared" si="3"/>
        <v>0</v>
      </c>
      <c r="J39" s="47">
        <f t="shared" si="3"/>
        <v>0</v>
      </c>
      <c r="K39" s="44">
        <f t="shared" si="0"/>
        <v>0</v>
      </c>
      <c r="L39" s="47">
        <f>SUM(L33:L38)</f>
        <v>0</v>
      </c>
      <c r="M39" s="47">
        <f>SUM(M33:M38)</f>
        <v>0</v>
      </c>
      <c r="N39" s="47">
        <f>SUM(N33:N38)</f>
        <v>0</v>
      </c>
    </row>
    <row r="40" spans="1:14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3"/>
      <c r="K40" s="44">
        <f t="shared" si="0"/>
        <v>0</v>
      </c>
      <c r="L40" s="43"/>
      <c r="M40" s="43"/>
      <c r="N40" s="43"/>
    </row>
    <row r="41" spans="1:14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3"/>
      <c r="K41" s="44">
        <f t="shared" si="0"/>
        <v>0</v>
      </c>
      <c r="L41" s="43"/>
      <c r="M41" s="43"/>
      <c r="N41" s="43"/>
    </row>
    <row r="42" spans="1:14" ht="12.75">
      <c r="A42" s="50" t="s">
        <v>59</v>
      </c>
      <c r="B42" s="42">
        <v>113</v>
      </c>
      <c r="C42" s="163">
        <v>323486</v>
      </c>
      <c r="D42" s="43"/>
      <c r="E42" s="43"/>
      <c r="F42" s="43"/>
      <c r="G42" s="43"/>
      <c r="H42" s="43"/>
      <c r="I42" s="43"/>
      <c r="J42" s="164"/>
      <c r="K42" s="44">
        <f>SUM(C42:I42)</f>
        <v>323486</v>
      </c>
      <c r="L42" s="43"/>
      <c r="M42" s="43">
        <v>1</v>
      </c>
      <c r="N42" s="43">
        <v>1</v>
      </c>
    </row>
    <row r="43" spans="1:14" ht="12.75">
      <c r="A43" s="50" t="s">
        <v>60</v>
      </c>
      <c r="B43" s="42">
        <v>114</v>
      </c>
      <c r="C43" s="163">
        <v>913748</v>
      </c>
      <c r="D43" s="43"/>
      <c r="E43" s="43"/>
      <c r="F43" s="43"/>
      <c r="G43" s="43"/>
      <c r="H43" s="43"/>
      <c r="I43" s="43"/>
      <c r="J43" s="164"/>
      <c r="K43" s="44">
        <f>SUM(C43:I43)</f>
        <v>913748</v>
      </c>
      <c r="L43" s="43"/>
      <c r="M43" s="43">
        <v>4</v>
      </c>
      <c r="N43" s="43">
        <v>4</v>
      </c>
    </row>
    <row r="44" spans="1:14" ht="12.75">
      <c r="A44" s="50" t="s">
        <v>61</v>
      </c>
      <c r="B44" s="42">
        <v>115</v>
      </c>
      <c r="C44" s="163">
        <v>3161081</v>
      </c>
      <c r="D44" s="43"/>
      <c r="E44" s="43"/>
      <c r="F44" s="43"/>
      <c r="G44" s="43"/>
      <c r="H44" s="43"/>
      <c r="I44" s="43"/>
      <c r="J44" s="164"/>
      <c r="K44" s="44">
        <f>SUM(C44:I44)</f>
        <v>3161081</v>
      </c>
      <c r="L44" s="43"/>
      <c r="M44" s="43">
        <v>15</v>
      </c>
      <c r="N44" s="43">
        <v>16</v>
      </c>
    </row>
    <row r="45" spans="1:14" ht="12.75">
      <c r="A45" s="50" t="s">
        <v>62</v>
      </c>
      <c r="B45" s="42">
        <v>119</v>
      </c>
      <c r="C45" s="163">
        <v>10358911</v>
      </c>
      <c r="D45" s="43"/>
      <c r="E45" s="43"/>
      <c r="F45" s="43"/>
      <c r="G45" s="43"/>
      <c r="H45" s="43"/>
      <c r="I45" s="43"/>
      <c r="J45" s="164"/>
      <c r="K45" s="44">
        <f>SUM(C45:I45)</f>
        <v>10358911</v>
      </c>
      <c r="L45" s="43"/>
      <c r="M45" s="43">
        <v>81</v>
      </c>
      <c r="N45" s="43">
        <v>89</v>
      </c>
    </row>
    <row r="46" spans="1:14" ht="12.75">
      <c r="A46" s="50" t="s">
        <v>63</v>
      </c>
      <c r="B46" s="42">
        <v>120</v>
      </c>
      <c r="C46" s="163">
        <v>32708205</v>
      </c>
      <c r="D46" s="43"/>
      <c r="E46" s="43"/>
      <c r="F46" s="43"/>
      <c r="G46" s="43"/>
      <c r="H46" s="43"/>
      <c r="I46" s="43"/>
      <c r="J46" s="164"/>
      <c r="K46" s="44">
        <f>SUM(C46:I46)</f>
        <v>32708205</v>
      </c>
      <c r="L46" s="43"/>
      <c r="M46" s="43">
        <v>525</v>
      </c>
      <c r="N46" s="43">
        <v>631</v>
      </c>
    </row>
    <row r="47" spans="1:14" ht="12.75">
      <c r="A47" s="46" t="s">
        <v>74</v>
      </c>
      <c r="B47" s="47">
        <v>121</v>
      </c>
      <c r="C47" s="47">
        <f>SUM(C40:C46)</f>
        <v>47465431</v>
      </c>
      <c r="D47" s="47">
        <f aca="true" t="shared" si="4" ref="D47:J47">SUM(D40:D46)</f>
        <v>0</v>
      </c>
      <c r="E47" s="47">
        <f t="shared" si="4"/>
        <v>0</v>
      </c>
      <c r="F47" s="47">
        <f t="shared" si="4"/>
        <v>0</v>
      </c>
      <c r="G47" s="47">
        <f t="shared" si="4"/>
        <v>0</v>
      </c>
      <c r="H47" s="47">
        <f t="shared" si="4"/>
        <v>0</v>
      </c>
      <c r="I47" s="47">
        <f t="shared" si="4"/>
        <v>0</v>
      </c>
      <c r="J47" s="47">
        <f t="shared" si="4"/>
        <v>0</v>
      </c>
      <c r="K47" s="44">
        <f t="shared" si="0"/>
        <v>47465431</v>
      </c>
      <c r="L47" s="47">
        <f>SUM(L40:L46)</f>
        <v>0</v>
      </c>
      <c r="M47" s="162">
        <f>SUM(M40:M46)</f>
        <v>626</v>
      </c>
      <c r="N47" s="47">
        <f>SUM(N40:N46)</f>
        <v>741</v>
      </c>
    </row>
    <row r="48" spans="1:14" ht="12.75">
      <c r="A48" s="46" t="s">
        <v>119</v>
      </c>
      <c r="B48" s="47">
        <v>152</v>
      </c>
      <c r="C48" s="47">
        <f aca="true" t="shared" si="5" ref="C48:J48">C32+C39+C47</f>
        <v>51545601</v>
      </c>
      <c r="D48" s="47">
        <f t="shared" si="5"/>
        <v>0</v>
      </c>
      <c r="E48" s="47">
        <f t="shared" si="5"/>
        <v>0</v>
      </c>
      <c r="F48" s="47">
        <f t="shared" si="5"/>
        <v>0</v>
      </c>
      <c r="G48" s="47">
        <f t="shared" si="5"/>
        <v>0</v>
      </c>
      <c r="H48" s="47">
        <f t="shared" si="5"/>
        <v>0</v>
      </c>
      <c r="I48" s="47">
        <f t="shared" si="5"/>
        <v>0</v>
      </c>
      <c r="J48" s="47">
        <f t="shared" si="5"/>
        <v>0</v>
      </c>
      <c r="K48" s="44">
        <f t="shared" si="0"/>
        <v>51545601</v>
      </c>
      <c r="L48" s="47">
        <f>L32+L39+L47</f>
        <v>0</v>
      </c>
      <c r="M48" s="47">
        <f>M32+M39+M47</f>
        <v>690</v>
      </c>
      <c r="N48" s="47">
        <f>N32+N39+N47</f>
        <v>790</v>
      </c>
    </row>
    <row r="49" spans="1:14" ht="12.75">
      <c r="A49" s="46" t="s">
        <v>51</v>
      </c>
      <c r="B49" s="47">
        <v>158</v>
      </c>
      <c r="C49" s="163">
        <v>151428</v>
      </c>
      <c r="D49" s="51"/>
      <c r="E49" s="51"/>
      <c r="F49" s="51"/>
      <c r="G49" s="51"/>
      <c r="H49" s="51"/>
      <c r="I49" s="51"/>
      <c r="J49" s="51"/>
      <c r="K49" s="44">
        <f>SUM(C49:I49)</f>
        <v>151428</v>
      </c>
      <c r="L49" s="51"/>
      <c r="M49" s="51">
        <v>2</v>
      </c>
      <c r="N49" s="51">
        <v>3</v>
      </c>
    </row>
    <row r="50" spans="1:14" ht="12.75">
      <c r="A50" s="46" t="s">
        <v>75</v>
      </c>
      <c r="B50" s="47">
        <v>159</v>
      </c>
      <c r="C50" s="47">
        <f aca="true" t="shared" si="6" ref="C50:J50">C48+C49</f>
        <v>51697029</v>
      </c>
      <c r="D50" s="47">
        <f t="shared" si="6"/>
        <v>0</v>
      </c>
      <c r="E50" s="47">
        <f t="shared" si="6"/>
        <v>0</v>
      </c>
      <c r="F50" s="47">
        <f t="shared" si="6"/>
        <v>0</v>
      </c>
      <c r="G50" s="47">
        <f t="shared" si="6"/>
        <v>0</v>
      </c>
      <c r="H50" s="47">
        <f t="shared" si="6"/>
        <v>0</v>
      </c>
      <c r="I50" s="47">
        <f t="shared" si="6"/>
        <v>0</v>
      </c>
      <c r="J50" s="47">
        <f t="shared" si="6"/>
        <v>0</v>
      </c>
      <c r="K50" s="47">
        <f>K48+D49</f>
        <v>51545601</v>
      </c>
      <c r="L50" s="47">
        <f>L48+L49</f>
        <v>0</v>
      </c>
      <c r="M50" s="47">
        <f>M48+M49</f>
        <v>692</v>
      </c>
      <c r="N50" s="47">
        <f>N48+N49</f>
        <v>793</v>
      </c>
    </row>
    <row r="51" spans="1:14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5"/>
      <c r="L51" s="114"/>
      <c r="M51" s="114"/>
      <c r="N51" s="116"/>
    </row>
    <row r="52" spans="1:14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7"/>
      <c r="N52" s="116"/>
    </row>
    <row r="53" spans="1:14" ht="12.75">
      <c r="A53" s="178" t="s">
        <v>3</v>
      </c>
      <c r="B53" s="136" t="s">
        <v>49</v>
      </c>
      <c r="C53" s="137" t="s">
        <v>4</v>
      </c>
      <c r="D53" s="137" t="s">
        <v>5</v>
      </c>
      <c r="E53" s="137" t="s">
        <v>6</v>
      </c>
      <c r="F53" s="137" t="s">
        <v>80</v>
      </c>
      <c r="G53" s="137" t="s">
        <v>81</v>
      </c>
      <c r="H53" s="137" t="s">
        <v>7</v>
      </c>
      <c r="I53" s="137" t="s">
        <v>42</v>
      </c>
      <c r="J53" s="137" t="s">
        <v>78</v>
      </c>
      <c r="K53" s="138" t="s">
        <v>155</v>
      </c>
      <c r="L53" s="137" t="s">
        <v>157</v>
      </c>
      <c r="M53" s="137" t="s">
        <v>159</v>
      </c>
      <c r="N53" s="116"/>
    </row>
    <row r="54" spans="1:14" ht="12.75">
      <c r="A54" s="179"/>
      <c r="B54" s="54" t="s">
        <v>50</v>
      </c>
      <c r="C54" s="55" t="s">
        <v>9</v>
      </c>
      <c r="D54" s="55" t="s">
        <v>10</v>
      </c>
      <c r="E54" s="55" t="s">
        <v>11</v>
      </c>
      <c r="F54" s="55" t="s">
        <v>10</v>
      </c>
      <c r="G54" s="55" t="s">
        <v>12</v>
      </c>
      <c r="H54" s="55" t="s">
        <v>13</v>
      </c>
      <c r="I54" s="55" t="s">
        <v>43</v>
      </c>
      <c r="J54" s="55" t="s">
        <v>79</v>
      </c>
      <c r="K54" s="117" t="s">
        <v>156</v>
      </c>
      <c r="L54" s="55" t="s">
        <v>158</v>
      </c>
      <c r="M54" s="55" t="s">
        <v>54</v>
      </c>
      <c r="N54" s="116"/>
    </row>
    <row r="55" spans="1:15" ht="12.75">
      <c r="A55" s="56"/>
      <c r="B55" s="57">
        <f>IF(A55="","",VLOOKUP(A55,$A$12:$B$50,2,FALSE))</f>
      </c>
      <c r="C55" s="57"/>
      <c r="D55" s="57"/>
      <c r="E55" s="57"/>
      <c r="F55" s="57"/>
      <c r="G55" s="57"/>
      <c r="H55" s="57"/>
      <c r="I55" s="57"/>
      <c r="J55" s="57"/>
      <c r="K55" s="118"/>
      <c r="L55" s="57"/>
      <c r="M55" s="58"/>
      <c r="N55" s="119"/>
      <c r="O55" s="45"/>
    </row>
    <row r="56" spans="1:15" ht="12.75">
      <c r="A56" s="60"/>
      <c r="B56" s="61">
        <f>IF(A56="","",VLOOKUP(A56,$A$12:$B$50,2,FALSE))</f>
      </c>
      <c r="C56" s="61"/>
      <c r="D56" s="61"/>
      <c r="E56" s="61"/>
      <c r="F56" s="61"/>
      <c r="G56" s="61"/>
      <c r="H56" s="61"/>
      <c r="I56" s="61"/>
      <c r="J56" s="61"/>
      <c r="K56" s="120"/>
      <c r="L56" s="61"/>
      <c r="M56" s="62"/>
      <c r="N56" s="119"/>
      <c r="O56" s="45"/>
    </row>
    <row r="57" spans="1:15" ht="12.75">
      <c r="A57" s="60"/>
      <c r="B57" s="61">
        <f>IF(A57="","",VLOOKUP(A57,$A$12:$B$50,2,FALSE))</f>
      </c>
      <c r="C57" s="61"/>
      <c r="D57" s="61"/>
      <c r="E57" s="61"/>
      <c r="F57" s="61"/>
      <c r="G57" s="61"/>
      <c r="H57" s="61"/>
      <c r="I57" s="61"/>
      <c r="J57" s="61"/>
      <c r="K57" s="120"/>
      <c r="L57" s="61"/>
      <c r="M57" s="62"/>
      <c r="N57" s="119"/>
      <c r="O57" s="45"/>
    </row>
    <row r="58" spans="1:15" ht="12.75">
      <c r="A58" s="60"/>
      <c r="B58" s="61">
        <f>IF(A58="","",VLOOKUP(A58,$A$12:$B$50,2,FALSE))</f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2"/>
      <c r="N58" s="59"/>
      <c r="O58" s="45"/>
    </row>
    <row r="60" spans="1:5" ht="12.75">
      <c r="A60" s="63" t="s">
        <v>21</v>
      </c>
      <c r="B60" s="175" t="s">
        <v>209</v>
      </c>
      <c r="C60" s="175"/>
      <c r="D60" s="175"/>
      <c r="E60" s="64"/>
    </row>
    <row r="61" spans="10:11" ht="12.75">
      <c r="J61" s="174" t="s">
        <v>211</v>
      </c>
      <c r="K61" s="174"/>
    </row>
    <row r="62" spans="10:11" ht="12.75">
      <c r="J62" s="173" t="s">
        <v>48</v>
      </c>
      <c r="K62" s="173"/>
    </row>
  </sheetData>
  <sheetProtection/>
  <mergeCells count="14">
    <mergeCell ref="A53:A54"/>
    <mergeCell ref="A52:M52"/>
    <mergeCell ref="K3:L3"/>
    <mergeCell ref="K2:L2"/>
    <mergeCell ref="B60:D60"/>
    <mergeCell ref="J61:K61"/>
    <mergeCell ref="J62:K62"/>
    <mergeCell ref="F5:M5"/>
    <mergeCell ref="A5:D5"/>
    <mergeCell ref="C10:D10"/>
    <mergeCell ref="M9:N9"/>
    <mergeCell ref="M7:M8"/>
    <mergeCell ref="N7:N8"/>
    <mergeCell ref="C7:D7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9" ht="12.75">
      <c r="A2" s="3" t="s">
        <v>71</v>
      </c>
      <c r="G2" s="5" t="s">
        <v>0</v>
      </c>
      <c r="H2" s="169" t="s">
        <v>210</v>
      </c>
      <c r="I2" s="170"/>
    </row>
    <row r="3" spans="1:9" ht="12.75">
      <c r="A3" s="3"/>
      <c r="G3" s="5" t="s">
        <v>77</v>
      </c>
      <c r="H3" s="169" t="s">
        <v>208</v>
      </c>
      <c r="I3" s="170"/>
    </row>
    <row r="4" ht="18" customHeight="1">
      <c r="A4" s="6"/>
    </row>
    <row r="5" spans="1:10" ht="18">
      <c r="A5" s="172" t="s">
        <v>85</v>
      </c>
      <c r="B5" s="172"/>
      <c r="C5" s="172"/>
      <c r="D5" s="172"/>
      <c r="E5" s="172"/>
      <c r="F5" s="7" t="s">
        <v>83</v>
      </c>
      <c r="G5" s="171" t="s">
        <v>164</v>
      </c>
      <c r="H5" s="171"/>
      <c r="I5" s="171"/>
      <c r="J5" s="17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21" t="s">
        <v>115</v>
      </c>
      <c r="E7" s="121"/>
      <c r="F7" s="16" t="s">
        <v>107</v>
      </c>
      <c r="G7" s="16" t="s">
        <v>110</v>
      </c>
      <c r="H7" s="16" t="s">
        <v>112</v>
      </c>
      <c r="I7" s="16" t="s">
        <v>112</v>
      </c>
      <c r="J7" s="122" t="s">
        <v>112</v>
      </c>
    </row>
    <row r="8" spans="1:10" ht="12.75">
      <c r="A8" s="123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4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4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7" t="s">
        <v>181</v>
      </c>
      <c r="G10" s="27" t="s">
        <v>183</v>
      </c>
      <c r="H10" s="27" t="s">
        <v>187</v>
      </c>
      <c r="I10" s="27" t="s">
        <v>184</v>
      </c>
      <c r="J10" s="146" t="s">
        <v>182</v>
      </c>
    </row>
    <row r="11" spans="1:10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125"/>
    </row>
    <row r="12" spans="1:15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4">
        <f>SUM(C12:I12)</f>
        <v>0</v>
      </c>
      <c r="K12" s="64"/>
      <c r="L12" s="64"/>
      <c r="M12" s="64"/>
      <c r="N12" s="64"/>
      <c r="O12" s="64"/>
    </row>
    <row r="13" spans="1:15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4">
        <f aca="true" t="shared" si="0" ref="J13:J50">SUM(C13:I13)</f>
        <v>0</v>
      </c>
      <c r="K13" s="64"/>
      <c r="L13" s="64"/>
      <c r="M13" s="64"/>
      <c r="N13" s="64"/>
      <c r="O13" s="64"/>
    </row>
    <row r="14" spans="1:15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4">
        <f t="shared" si="0"/>
        <v>0</v>
      </c>
      <c r="K14" s="64"/>
      <c r="L14" s="64"/>
      <c r="M14" s="64"/>
      <c r="N14" s="64"/>
      <c r="O14" s="64"/>
    </row>
    <row r="15" spans="1:15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4">
        <f t="shared" si="0"/>
        <v>0</v>
      </c>
      <c r="K15" s="64"/>
      <c r="L15" s="64"/>
      <c r="M15" s="64"/>
      <c r="N15" s="64"/>
      <c r="O15" s="64"/>
    </row>
    <row r="16" spans="1:15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4">
        <f t="shared" si="0"/>
        <v>0</v>
      </c>
      <c r="K16" s="64"/>
      <c r="L16" s="64"/>
      <c r="M16" s="64"/>
      <c r="N16" s="64"/>
      <c r="O16" s="64"/>
    </row>
    <row r="17" spans="1:15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4">
        <f t="shared" si="0"/>
        <v>0</v>
      </c>
      <c r="K17" s="64"/>
      <c r="L17" s="64"/>
      <c r="M17" s="64"/>
      <c r="N17" s="64"/>
      <c r="O17" s="64"/>
    </row>
    <row r="18" spans="1:15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4">
        <f t="shared" si="0"/>
        <v>0</v>
      </c>
      <c r="K18" s="64"/>
      <c r="L18" s="64"/>
      <c r="M18" s="64"/>
      <c r="N18" s="64"/>
      <c r="O18" s="64"/>
    </row>
    <row r="19" spans="1:15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4">
        <f t="shared" si="0"/>
        <v>0</v>
      </c>
      <c r="K19" s="64"/>
      <c r="L19" s="64"/>
      <c r="M19" s="64"/>
      <c r="N19" s="64"/>
      <c r="O19" s="64"/>
    </row>
    <row r="20" spans="1:15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4">
        <f t="shared" si="0"/>
        <v>0</v>
      </c>
      <c r="K20" s="64"/>
      <c r="L20" s="64"/>
      <c r="M20" s="64"/>
      <c r="N20" s="64"/>
      <c r="O20" s="64"/>
    </row>
    <row r="21" spans="1:15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4">
        <f t="shared" si="0"/>
        <v>0</v>
      </c>
      <c r="K21" s="64"/>
      <c r="L21" s="64"/>
      <c r="M21" s="64"/>
      <c r="N21" s="64"/>
      <c r="O21" s="64"/>
    </row>
    <row r="22" spans="1:18" s="45" customFormat="1" ht="12.75" customHeight="1">
      <c r="A22" s="41" t="s">
        <v>38</v>
      </c>
      <c r="B22" s="42">
        <v>81</v>
      </c>
      <c r="C22" s="163">
        <f>33276+6239+693</f>
        <v>40208</v>
      </c>
      <c r="D22" s="43"/>
      <c r="E22" s="163">
        <v>4159</v>
      </c>
      <c r="F22" s="43"/>
      <c r="G22" s="43"/>
      <c r="H22" s="43"/>
      <c r="I22" s="43"/>
      <c r="J22" s="44">
        <f t="shared" si="0"/>
        <v>44367</v>
      </c>
      <c r="K22" s="64"/>
      <c r="L22" s="64"/>
      <c r="M22" s="64"/>
      <c r="N22" s="64"/>
      <c r="O22" s="64"/>
      <c r="P22" s="2"/>
      <c r="Q22" s="2"/>
      <c r="R22" s="2"/>
    </row>
    <row r="23" spans="1:15" ht="12.75">
      <c r="A23" s="41" t="s">
        <v>39</v>
      </c>
      <c r="B23" s="42">
        <v>82</v>
      </c>
      <c r="C23" s="163">
        <v>0</v>
      </c>
      <c r="D23" s="43"/>
      <c r="E23" s="163">
        <v>0</v>
      </c>
      <c r="F23" s="43"/>
      <c r="G23" s="43"/>
      <c r="H23" s="43"/>
      <c r="I23" s="43"/>
      <c r="J23" s="44">
        <f t="shared" si="0"/>
        <v>0</v>
      </c>
      <c r="K23" s="64"/>
      <c r="L23" s="64"/>
      <c r="M23" s="64"/>
      <c r="N23" s="64"/>
      <c r="O23" s="64"/>
    </row>
    <row r="24" spans="1:15" ht="12.75">
      <c r="A24" s="41" t="s">
        <v>32</v>
      </c>
      <c r="B24" s="42">
        <v>83</v>
      </c>
      <c r="C24" s="163">
        <f>72003+13500+1500</f>
        <v>87003</v>
      </c>
      <c r="D24" s="43"/>
      <c r="E24" s="163">
        <v>9001</v>
      </c>
      <c r="F24" s="43"/>
      <c r="G24" s="43"/>
      <c r="H24" s="43"/>
      <c r="I24" s="43"/>
      <c r="J24" s="44">
        <f t="shared" si="0"/>
        <v>96004</v>
      </c>
      <c r="K24" s="64"/>
      <c r="L24" s="64"/>
      <c r="M24" s="64"/>
      <c r="N24" s="64"/>
      <c r="O24" s="64"/>
    </row>
    <row r="25" spans="1:15" ht="12.75">
      <c r="A25" s="41" t="s">
        <v>33</v>
      </c>
      <c r="B25" s="42">
        <v>84</v>
      </c>
      <c r="C25" s="163">
        <f>455148+85181+9765</f>
        <v>550094</v>
      </c>
      <c r="D25" s="43"/>
      <c r="E25" s="163">
        <v>58589</v>
      </c>
      <c r="F25" s="43"/>
      <c r="G25" s="43"/>
      <c r="H25" s="43"/>
      <c r="I25" s="43"/>
      <c r="J25" s="44">
        <f t="shared" si="0"/>
        <v>608683</v>
      </c>
      <c r="K25" s="64"/>
      <c r="L25" s="64"/>
      <c r="M25" s="64"/>
      <c r="N25" s="64"/>
      <c r="O25" s="64"/>
    </row>
    <row r="26" spans="1:15" ht="12.75">
      <c r="A26" s="41" t="s">
        <v>34</v>
      </c>
      <c r="B26" s="42">
        <v>85</v>
      </c>
      <c r="C26" s="163">
        <f>59259+11111+1234</f>
        <v>71604</v>
      </c>
      <c r="D26" s="43"/>
      <c r="E26" s="163">
        <v>7407</v>
      </c>
      <c r="F26" s="43"/>
      <c r="G26" s="43"/>
      <c r="H26" s="43"/>
      <c r="I26" s="43"/>
      <c r="J26" s="44">
        <f t="shared" si="0"/>
        <v>79011</v>
      </c>
      <c r="K26" s="64"/>
      <c r="L26" s="64"/>
      <c r="M26" s="64"/>
      <c r="N26" s="64"/>
      <c r="O26" s="64"/>
    </row>
    <row r="27" spans="1:15" ht="12.75">
      <c r="A27" s="41" t="s">
        <v>35</v>
      </c>
      <c r="B27" s="42">
        <v>86</v>
      </c>
      <c r="C27" s="163">
        <f>114456+21461+2386</f>
        <v>138303</v>
      </c>
      <c r="D27" s="43"/>
      <c r="E27" s="163">
        <v>14308</v>
      </c>
      <c r="F27" s="43"/>
      <c r="G27" s="43"/>
      <c r="H27" s="43"/>
      <c r="I27" s="43"/>
      <c r="J27" s="44">
        <f t="shared" si="0"/>
        <v>152611</v>
      </c>
      <c r="K27" s="64"/>
      <c r="L27" s="64"/>
      <c r="M27" s="64"/>
      <c r="N27" s="64"/>
      <c r="O27" s="64"/>
    </row>
    <row r="28" spans="1:15" ht="12.75">
      <c r="A28" s="41" t="s">
        <v>36</v>
      </c>
      <c r="B28" s="42">
        <v>87</v>
      </c>
      <c r="C28" s="163">
        <f>69626+13055+1450</f>
        <v>84131</v>
      </c>
      <c r="D28" s="43"/>
      <c r="E28" s="163">
        <v>8703</v>
      </c>
      <c r="F28" s="43"/>
      <c r="G28" s="43"/>
      <c r="H28" s="43"/>
      <c r="I28" s="43"/>
      <c r="J28" s="44">
        <f t="shared" si="0"/>
        <v>92834</v>
      </c>
      <c r="K28" s="64"/>
      <c r="L28" s="64"/>
      <c r="M28" s="64"/>
      <c r="N28" s="64"/>
      <c r="O28" s="64"/>
    </row>
    <row r="29" spans="1:15" ht="12.75">
      <c r="A29" s="41" t="s">
        <v>37</v>
      </c>
      <c r="B29" s="42">
        <v>88</v>
      </c>
      <c r="C29" s="163">
        <f>69350+13003+1445</f>
        <v>83798</v>
      </c>
      <c r="D29" s="43"/>
      <c r="E29" s="163">
        <v>8668</v>
      </c>
      <c r="F29" s="43"/>
      <c r="G29" s="43"/>
      <c r="H29" s="43"/>
      <c r="I29" s="43"/>
      <c r="J29" s="44">
        <f t="shared" si="0"/>
        <v>92466</v>
      </c>
      <c r="K29" s="64"/>
      <c r="L29" s="64"/>
      <c r="M29" s="64"/>
      <c r="N29" s="64"/>
      <c r="O29" s="64"/>
    </row>
    <row r="30" spans="1:15" ht="12.75">
      <c r="A30" s="41" t="s">
        <v>40</v>
      </c>
      <c r="B30" s="42">
        <v>89</v>
      </c>
      <c r="C30" s="163">
        <f>92574+17357+1928</f>
        <v>111859</v>
      </c>
      <c r="D30" s="43"/>
      <c r="E30" s="163">
        <v>11571</v>
      </c>
      <c r="F30" s="43"/>
      <c r="G30" s="43"/>
      <c r="H30" s="43"/>
      <c r="I30" s="43"/>
      <c r="J30" s="44">
        <f t="shared" si="0"/>
        <v>123430</v>
      </c>
      <c r="K30" s="64"/>
      <c r="L30" s="64"/>
      <c r="M30" s="64"/>
      <c r="N30" s="64"/>
      <c r="O30" s="64"/>
    </row>
    <row r="31" spans="1:15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4">
        <f t="shared" si="0"/>
        <v>0</v>
      </c>
      <c r="K31" s="64"/>
      <c r="L31" s="64"/>
      <c r="M31" s="64"/>
      <c r="N31" s="64"/>
      <c r="O31" s="64"/>
    </row>
    <row r="32" spans="1:15" s="48" customFormat="1" ht="12.75">
      <c r="A32" s="46" t="s">
        <v>73</v>
      </c>
      <c r="B32" s="42">
        <v>92</v>
      </c>
      <c r="C32" s="47">
        <f aca="true" t="shared" si="1" ref="C32:I32">SUM(C12:C31)</f>
        <v>1167000</v>
      </c>
      <c r="D32" s="47">
        <f>SUM(D12:D31)</f>
        <v>0</v>
      </c>
      <c r="E32" s="47">
        <f t="shared" si="1"/>
        <v>122406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4">
        <f t="shared" si="0"/>
        <v>1289406</v>
      </c>
      <c r="K32" s="126"/>
      <c r="L32" s="126"/>
      <c r="M32" s="126"/>
      <c r="N32" s="126"/>
      <c r="O32" s="126"/>
    </row>
    <row r="33" spans="1:15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4">
        <f t="shared" si="0"/>
        <v>0</v>
      </c>
      <c r="K33" s="64"/>
      <c r="L33" s="64"/>
      <c r="M33" s="64"/>
      <c r="N33" s="64"/>
      <c r="O33" s="64"/>
    </row>
    <row r="34" spans="1:15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4">
        <f t="shared" si="0"/>
        <v>0</v>
      </c>
      <c r="K34" s="64"/>
      <c r="L34" s="64"/>
      <c r="M34" s="64"/>
      <c r="N34" s="64"/>
      <c r="O34" s="64"/>
    </row>
    <row r="35" spans="1:15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4">
        <f t="shared" si="0"/>
        <v>0</v>
      </c>
      <c r="K35" s="64"/>
      <c r="L35" s="64"/>
      <c r="M35" s="64"/>
      <c r="N35" s="64"/>
      <c r="O35" s="64"/>
    </row>
    <row r="36" spans="1:15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4">
        <f t="shared" si="0"/>
        <v>0</v>
      </c>
      <c r="K36" s="64"/>
      <c r="L36" s="64"/>
      <c r="M36" s="64"/>
      <c r="N36" s="64"/>
      <c r="O36" s="64"/>
    </row>
    <row r="37" spans="1:15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4">
        <f t="shared" si="0"/>
        <v>0</v>
      </c>
      <c r="K37" s="64"/>
      <c r="L37" s="64"/>
      <c r="M37" s="64"/>
      <c r="N37" s="64"/>
      <c r="O37" s="64"/>
    </row>
    <row r="38" spans="1:15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4">
        <f t="shared" si="0"/>
        <v>0</v>
      </c>
      <c r="K38" s="64"/>
      <c r="L38" s="64"/>
      <c r="M38" s="64"/>
      <c r="N38" s="64"/>
      <c r="O38" s="64"/>
    </row>
    <row r="39" spans="1:15" s="48" customFormat="1" ht="12.75">
      <c r="A39" s="46" t="s">
        <v>72</v>
      </c>
      <c r="B39" s="42">
        <v>110</v>
      </c>
      <c r="C39" s="47">
        <f aca="true" t="shared" si="2" ref="C39:I39">SUM(C33:C38)</f>
        <v>0</v>
      </c>
      <c r="D39" s="47">
        <f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4">
        <f t="shared" si="0"/>
        <v>0</v>
      </c>
      <c r="K39" s="126"/>
      <c r="L39" s="126"/>
      <c r="M39" s="126"/>
      <c r="N39" s="126"/>
      <c r="O39" s="126"/>
    </row>
    <row r="40" spans="1:15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4">
        <f t="shared" si="0"/>
        <v>0</v>
      </c>
      <c r="K40" s="64"/>
      <c r="L40" s="64"/>
      <c r="M40" s="64"/>
      <c r="N40" s="64"/>
      <c r="O40" s="64"/>
    </row>
    <row r="41" spans="1:15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4">
        <f t="shared" si="0"/>
        <v>0</v>
      </c>
      <c r="K41" s="64"/>
      <c r="L41" s="64"/>
      <c r="M41" s="64"/>
      <c r="N41" s="64"/>
      <c r="O41" s="64"/>
    </row>
    <row r="42" spans="1:15" ht="12.75">
      <c r="A42" s="50" t="s">
        <v>59</v>
      </c>
      <c r="B42" s="42">
        <v>113</v>
      </c>
      <c r="C42" s="163">
        <f>77637+14557+1617</f>
        <v>93811</v>
      </c>
      <c r="D42" s="43"/>
      <c r="E42" s="163">
        <v>9705</v>
      </c>
      <c r="F42" s="43"/>
      <c r="G42" s="43"/>
      <c r="H42" s="43"/>
      <c r="I42" s="43"/>
      <c r="J42" s="44">
        <f t="shared" si="0"/>
        <v>103516</v>
      </c>
      <c r="K42" s="64"/>
      <c r="L42" s="64"/>
      <c r="M42" s="64"/>
      <c r="N42" s="64"/>
      <c r="O42" s="64"/>
    </row>
    <row r="43" spans="1:15" ht="12.75">
      <c r="A43" s="50" t="s">
        <v>60</v>
      </c>
      <c r="B43" s="42">
        <v>114</v>
      </c>
      <c r="C43" s="163">
        <f>219300+41118+4569</f>
        <v>264987</v>
      </c>
      <c r="D43" s="43"/>
      <c r="E43" s="163">
        <v>26412</v>
      </c>
      <c r="F43" s="43"/>
      <c r="G43" s="43"/>
      <c r="H43" s="43"/>
      <c r="I43" s="43"/>
      <c r="J43" s="44">
        <f t="shared" si="0"/>
        <v>291399</v>
      </c>
      <c r="K43" s="64"/>
      <c r="L43" s="64"/>
      <c r="M43" s="64"/>
      <c r="N43" s="64"/>
      <c r="O43" s="64"/>
    </row>
    <row r="44" spans="1:15" ht="12.75">
      <c r="A44" s="50" t="s">
        <v>61</v>
      </c>
      <c r="B44" s="42">
        <v>115</v>
      </c>
      <c r="C44" s="163">
        <f>758660+142248+15806</f>
        <v>916714</v>
      </c>
      <c r="D44" s="43"/>
      <c r="E44" s="163">
        <v>94835</v>
      </c>
      <c r="F44" s="43"/>
      <c r="G44" s="43"/>
      <c r="H44" s="43"/>
      <c r="I44" s="43"/>
      <c r="J44" s="44">
        <f t="shared" si="0"/>
        <v>1011549</v>
      </c>
      <c r="K44" s="64"/>
      <c r="L44" s="64"/>
      <c r="M44" s="64"/>
      <c r="N44" s="64"/>
      <c r="O44" s="64"/>
    </row>
    <row r="45" spans="1:15" ht="12.75">
      <c r="A45" s="50" t="s">
        <v>62</v>
      </c>
      <c r="B45" s="42">
        <v>119</v>
      </c>
      <c r="C45" s="163">
        <f>2486140+466150+51795</f>
        <v>3004085</v>
      </c>
      <c r="D45" s="43"/>
      <c r="E45" s="163">
        <v>313769</v>
      </c>
      <c r="F45" s="43"/>
      <c r="G45" s="43"/>
      <c r="H45" s="43"/>
      <c r="I45" s="43"/>
      <c r="J45" s="44">
        <f t="shared" si="0"/>
        <v>3317854</v>
      </c>
      <c r="K45" s="64"/>
      <c r="L45" s="64"/>
      <c r="M45" s="64"/>
      <c r="N45" s="64"/>
      <c r="O45" s="64"/>
    </row>
    <row r="46" spans="1:15" ht="12.75">
      <c r="A46" s="50" t="s">
        <v>63</v>
      </c>
      <c r="B46" s="42">
        <v>120</v>
      </c>
      <c r="C46" s="163">
        <f>7864717+1472565+169374</f>
        <v>9506656</v>
      </c>
      <c r="D46" s="43"/>
      <c r="E46" s="163">
        <v>998802</v>
      </c>
      <c r="F46" s="43"/>
      <c r="G46" s="43"/>
      <c r="H46" s="43"/>
      <c r="I46" s="43"/>
      <c r="J46" s="44">
        <f t="shared" si="0"/>
        <v>10505458</v>
      </c>
      <c r="K46" s="64"/>
      <c r="L46" s="64"/>
      <c r="M46" s="64"/>
      <c r="N46" s="64"/>
      <c r="O46" s="64"/>
    </row>
    <row r="47" spans="1:15" s="48" customFormat="1" ht="12.75">
      <c r="A47" s="46" t="s">
        <v>74</v>
      </c>
      <c r="B47" s="47">
        <v>121</v>
      </c>
      <c r="C47" s="47">
        <f>SUM(C42:C46)</f>
        <v>13786253</v>
      </c>
      <c r="D47" s="47">
        <f aca="true" t="shared" si="3" ref="D47:J47">SUM(D42:D46)</f>
        <v>0</v>
      </c>
      <c r="E47" s="47">
        <f t="shared" si="3"/>
        <v>1443523</v>
      </c>
      <c r="F47" s="47">
        <f t="shared" si="3"/>
        <v>0</v>
      </c>
      <c r="G47" s="47">
        <f t="shared" si="3"/>
        <v>0</v>
      </c>
      <c r="H47" s="47">
        <f t="shared" si="3"/>
        <v>0</v>
      </c>
      <c r="I47" s="47">
        <f t="shared" si="3"/>
        <v>0</v>
      </c>
      <c r="J47" s="47">
        <f t="shared" si="3"/>
        <v>15229776</v>
      </c>
      <c r="K47" s="126"/>
      <c r="L47" s="126"/>
      <c r="M47" s="126"/>
      <c r="N47" s="126"/>
      <c r="O47" s="126"/>
    </row>
    <row r="48" spans="1:15" s="48" customFormat="1" ht="12.75">
      <c r="A48" s="46" t="s">
        <v>119</v>
      </c>
      <c r="B48" s="47">
        <v>152</v>
      </c>
      <c r="C48" s="47">
        <f>C32+C47</f>
        <v>14953253</v>
      </c>
      <c r="D48" s="47">
        <f aca="true" t="shared" si="4" ref="D48:J48">D32+D47</f>
        <v>0</v>
      </c>
      <c r="E48" s="47">
        <f t="shared" si="4"/>
        <v>1565929</v>
      </c>
      <c r="F48" s="47">
        <f t="shared" si="4"/>
        <v>0</v>
      </c>
      <c r="G48" s="47">
        <f t="shared" si="4"/>
        <v>0</v>
      </c>
      <c r="H48" s="47">
        <f t="shared" si="4"/>
        <v>0</v>
      </c>
      <c r="I48" s="47">
        <f t="shared" si="4"/>
        <v>0</v>
      </c>
      <c r="J48" s="47">
        <f t="shared" si="4"/>
        <v>16519182</v>
      </c>
      <c r="K48" s="126"/>
      <c r="L48" s="126"/>
      <c r="M48" s="126"/>
      <c r="N48" s="126"/>
      <c r="O48" s="126"/>
    </row>
    <row r="49" spans="1:15" s="48" customFormat="1" ht="12.75">
      <c r="A49" s="46" t="s">
        <v>51</v>
      </c>
      <c r="B49" s="47">
        <v>158</v>
      </c>
      <c r="C49" s="166">
        <f>36342+6814+757</f>
        <v>43913</v>
      </c>
      <c r="D49" s="51"/>
      <c r="E49" s="163">
        <v>4543</v>
      </c>
      <c r="F49" s="51"/>
      <c r="G49" s="51"/>
      <c r="H49" s="51"/>
      <c r="I49" s="51"/>
      <c r="J49" s="44">
        <f t="shared" si="0"/>
        <v>48456</v>
      </c>
      <c r="K49" s="126"/>
      <c r="L49" s="126"/>
      <c r="M49" s="126"/>
      <c r="N49" s="126"/>
      <c r="O49" s="126"/>
    </row>
    <row r="50" spans="1:15" s="48" customFormat="1" ht="12.75">
      <c r="A50" s="46" t="s">
        <v>75</v>
      </c>
      <c r="B50" s="47">
        <v>159</v>
      </c>
      <c r="C50" s="47">
        <f aca="true" t="shared" si="5" ref="C50:I50">C48+C49</f>
        <v>14997166</v>
      </c>
      <c r="D50" s="47">
        <f>D48+D49</f>
        <v>0</v>
      </c>
      <c r="E50" s="47">
        <f t="shared" si="5"/>
        <v>1570472</v>
      </c>
      <c r="F50" s="47">
        <f t="shared" si="5"/>
        <v>0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4">
        <f t="shared" si="0"/>
        <v>16567638</v>
      </c>
      <c r="K50" s="126"/>
      <c r="L50" s="126"/>
      <c r="M50" s="126"/>
      <c r="N50" s="126"/>
      <c r="O50" s="126"/>
    </row>
    <row r="51" spans="1:14" s="48" customFormat="1" ht="12.75">
      <c r="A51" s="113"/>
      <c r="B51" s="114"/>
      <c r="C51" s="114"/>
      <c r="D51" s="114"/>
      <c r="E51" s="114"/>
      <c r="F51" s="114"/>
      <c r="G51" s="114"/>
      <c r="H51" s="114"/>
      <c r="I51" s="114"/>
      <c r="J51" s="115"/>
      <c r="K51" s="52"/>
      <c r="L51" s="52"/>
      <c r="M51" s="52"/>
      <c r="N51" s="52"/>
    </row>
    <row r="52" spans="1:14" s="48" customFormat="1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39"/>
      <c r="N52" s="135"/>
    </row>
    <row r="53" spans="1:14" s="48" customFormat="1" ht="12.75">
      <c r="A53" s="178" t="s">
        <v>3</v>
      </c>
      <c r="B53" s="136" t="s">
        <v>49</v>
      </c>
      <c r="C53" s="137" t="s">
        <v>188</v>
      </c>
      <c r="D53" s="137" t="s">
        <v>189</v>
      </c>
      <c r="E53" s="137" t="s">
        <v>106</v>
      </c>
      <c r="F53" s="137" t="s">
        <v>190</v>
      </c>
      <c r="G53" s="137" t="s">
        <v>191</v>
      </c>
      <c r="H53" s="137" t="s">
        <v>192</v>
      </c>
      <c r="I53" s="137" t="s">
        <v>192</v>
      </c>
      <c r="J53" s="137" t="s">
        <v>192</v>
      </c>
      <c r="K53" s="191" t="s">
        <v>160</v>
      </c>
      <c r="L53" s="192"/>
      <c r="M53" s="127"/>
      <c r="N53" s="128"/>
    </row>
    <row r="54" spans="1:14" s="48" customFormat="1" ht="12.75">
      <c r="A54" s="179"/>
      <c r="B54" s="54" t="s">
        <v>50</v>
      </c>
      <c r="C54" s="55" t="s">
        <v>105</v>
      </c>
      <c r="D54" s="55" t="s">
        <v>105</v>
      </c>
      <c r="E54" s="55" t="s">
        <v>105</v>
      </c>
      <c r="F54" s="55" t="s">
        <v>109</v>
      </c>
      <c r="G54" s="55" t="s">
        <v>109</v>
      </c>
      <c r="H54" s="55" t="s">
        <v>193</v>
      </c>
      <c r="I54" s="55" t="s">
        <v>194</v>
      </c>
      <c r="J54" s="117" t="s">
        <v>114</v>
      </c>
      <c r="K54" s="54" t="s">
        <v>162</v>
      </c>
      <c r="L54" s="129" t="s">
        <v>161</v>
      </c>
      <c r="M54" s="127"/>
      <c r="N54" s="128"/>
    </row>
    <row r="55" spans="1:16" s="48" customFormat="1" ht="12.75">
      <c r="A55" s="56"/>
      <c r="B55" s="57">
        <f>IF(A55="","",VLOOKUP(A55,$A$12:$B$50,2,FALSE))</f>
      </c>
      <c r="C55" s="57"/>
      <c r="D55" s="57"/>
      <c r="E55" s="57"/>
      <c r="F55" s="57"/>
      <c r="G55" s="57"/>
      <c r="H55" s="57"/>
      <c r="I55" s="57"/>
      <c r="J55" s="130"/>
      <c r="K55" s="57"/>
      <c r="L55" s="58"/>
      <c r="M55" s="131"/>
      <c r="N55" s="114"/>
      <c r="O55" s="116"/>
      <c r="P55" s="132"/>
    </row>
    <row r="56" spans="1:16" s="48" customFormat="1" ht="12.75">
      <c r="A56" s="60"/>
      <c r="B56" s="61">
        <f>IF(A56="","",VLOOKUP(A56,$A$12:$B$50,2,FALSE))</f>
      </c>
      <c r="C56" s="61"/>
      <c r="D56" s="61"/>
      <c r="E56" s="61"/>
      <c r="F56" s="61"/>
      <c r="G56" s="61"/>
      <c r="H56" s="61"/>
      <c r="I56" s="61"/>
      <c r="J56" s="133"/>
      <c r="K56" s="61"/>
      <c r="L56" s="62"/>
      <c r="M56" s="131"/>
      <c r="N56" s="114"/>
      <c r="O56" s="116"/>
      <c r="P56" s="132"/>
    </row>
    <row r="57" spans="1:16" s="48" customFormat="1" ht="12.75">
      <c r="A57" s="60"/>
      <c r="B57" s="61">
        <f>IF(A57="","",VLOOKUP(A57,$A$12:$B$50,2,FALSE))</f>
      </c>
      <c r="C57" s="61"/>
      <c r="D57" s="61"/>
      <c r="E57" s="61"/>
      <c r="F57" s="61"/>
      <c r="G57" s="61"/>
      <c r="H57" s="61"/>
      <c r="I57" s="61"/>
      <c r="J57" s="133"/>
      <c r="K57" s="61"/>
      <c r="L57" s="62"/>
      <c r="M57" s="131"/>
      <c r="N57" s="114"/>
      <c r="O57" s="116"/>
      <c r="P57" s="132"/>
    </row>
    <row r="58" spans="1:16" ht="12.75">
      <c r="A58" s="60"/>
      <c r="B58" s="61">
        <f>IF(A58="","",VLOOKUP(A58,$A$12:$B$50,2,FALSE))</f>
      </c>
      <c r="C58" s="61"/>
      <c r="D58" s="61"/>
      <c r="E58" s="61"/>
      <c r="F58" s="61"/>
      <c r="G58" s="61"/>
      <c r="H58" s="61"/>
      <c r="I58" s="61"/>
      <c r="J58" s="61"/>
      <c r="K58" s="61"/>
      <c r="L58" s="62"/>
      <c r="M58" s="131"/>
      <c r="N58" s="114"/>
      <c r="O58" s="134"/>
      <c r="P58" s="45"/>
    </row>
    <row r="60" spans="1:6" ht="12.75">
      <c r="A60" s="63" t="s">
        <v>21</v>
      </c>
      <c r="B60" s="175" t="s">
        <v>209</v>
      </c>
      <c r="C60" s="175"/>
      <c r="D60" s="175"/>
      <c r="E60" s="175"/>
      <c r="F60" s="64"/>
    </row>
    <row r="61" spans="8:9" ht="12.75">
      <c r="H61" s="174" t="s">
        <v>211</v>
      </c>
      <c r="I61" s="174"/>
    </row>
    <row r="62" spans="8:9" ht="12.75">
      <c r="H62" s="173" t="s">
        <v>48</v>
      </c>
      <c r="I62" s="173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69" t="s">
        <v>210</v>
      </c>
      <c r="L2" s="170"/>
    </row>
    <row r="3" spans="1:12" ht="12.75">
      <c r="A3" s="3"/>
      <c r="H3" s="4"/>
      <c r="I3" s="4"/>
      <c r="J3" s="5" t="s">
        <v>77</v>
      </c>
      <c r="K3" s="169" t="s">
        <v>208</v>
      </c>
      <c r="L3" s="170"/>
    </row>
    <row r="4" ht="18" customHeight="1">
      <c r="A4" s="6"/>
    </row>
    <row r="5" spans="1:13" ht="18">
      <c r="A5" s="172" t="s">
        <v>82</v>
      </c>
      <c r="B5" s="172"/>
      <c r="C5" s="172"/>
      <c r="D5" s="172"/>
      <c r="E5" s="7" t="s">
        <v>83</v>
      </c>
      <c r="F5" s="171" t="s">
        <v>88</v>
      </c>
      <c r="G5" s="171"/>
      <c r="H5" s="171"/>
      <c r="I5" s="171"/>
      <c r="J5" s="171"/>
      <c r="K5" s="171"/>
      <c r="L5" s="171"/>
      <c r="M5" s="17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5" t="s">
        <v>121</v>
      </c>
      <c r="N7" s="196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9" t="s">
        <v>122</v>
      </c>
      <c r="N9" s="190"/>
    </row>
    <row r="10" spans="1:14" ht="13.5" thickBot="1">
      <c r="A10" s="25"/>
      <c r="B10" s="26"/>
      <c r="C10" s="176" t="s">
        <v>101</v>
      </c>
      <c r="D10" s="177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32"/>
      <c r="N10" s="33"/>
    </row>
    <row r="11" spans="1:14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9"/>
    </row>
    <row r="12" spans="1:14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3"/>
      <c r="K12" s="44">
        <f>SUM(C12:J12)</f>
        <v>0</v>
      </c>
      <c r="L12" s="43"/>
      <c r="M12" s="43"/>
      <c r="N12" s="43"/>
    </row>
    <row r="13" spans="1:14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3"/>
      <c r="K13" s="44">
        <f aca="true" t="shared" si="0" ref="K13:K50">SUM(C13:J13)</f>
        <v>0</v>
      </c>
      <c r="L13" s="43"/>
      <c r="M13" s="43"/>
      <c r="N13" s="43"/>
    </row>
    <row r="14" spans="1:14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3"/>
      <c r="K14" s="44">
        <f t="shared" si="0"/>
        <v>0</v>
      </c>
      <c r="L14" s="43"/>
      <c r="M14" s="43"/>
      <c r="N14" s="43"/>
    </row>
    <row r="15" spans="1:14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3"/>
      <c r="K15" s="44">
        <f t="shared" si="0"/>
        <v>0</v>
      </c>
      <c r="L15" s="43"/>
      <c r="M15" s="43"/>
      <c r="N15" s="43"/>
    </row>
    <row r="16" spans="1:14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3"/>
      <c r="K16" s="44">
        <f t="shared" si="0"/>
        <v>0</v>
      </c>
      <c r="L16" s="43"/>
      <c r="M16" s="43"/>
      <c r="N16" s="43"/>
    </row>
    <row r="17" spans="1:14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3"/>
      <c r="K17" s="44">
        <f t="shared" si="0"/>
        <v>0</v>
      </c>
      <c r="L17" s="43"/>
      <c r="M17" s="43"/>
      <c r="N17" s="43"/>
    </row>
    <row r="18" spans="1:14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3"/>
      <c r="K18" s="44">
        <f t="shared" si="0"/>
        <v>0</v>
      </c>
      <c r="L18" s="43"/>
      <c r="M18" s="43"/>
      <c r="N18" s="43"/>
    </row>
    <row r="19" spans="1:14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3"/>
      <c r="K19" s="44">
        <f t="shared" si="0"/>
        <v>0</v>
      </c>
      <c r="L19" s="43"/>
      <c r="M19" s="43"/>
      <c r="N19" s="43"/>
    </row>
    <row r="20" spans="1:14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3"/>
      <c r="K20" s="44">
        <f t="shared" si="0"/>
        <v>0</v>
      </c>
      <c r="L20" s="43"/>
      <c r="M20" s="43"/>
      <c r="N20" s="43"/>
    </row>
    <row r="21" spans="1:14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3"/>
      <c r="K21" s="44">
        <f t="shared" si="0"/>
        <v>0</v>
      </c>
      <c r="L21" s="43"/>
      <c r="M21" s="43"/>
      <c r="N21" s="43"/>
    </row>
    <row r="22" spans="1:21" s="45" customFormat="1" ht="12.75" customHeight="1">
      <c r="A22" s="41" t="s">
        <v>38</v>
      </c>
      <c r="B22" s="42">
        <v>81</v>
      </c>
      <c r="C22" s="163">
        <v>279586</v>
      </c>
      <c r="D22" s="43"/>
      <c r="E22" s="43"/>
      <c r="F22" s="43"/>
      <c r="G22" s="43"/>
      <c r="H22" s="43"/>
      <c r="I22" s="43"/>
      <c r="J22" s="163">
        <v>24342</v>
      </c>
      <c r="K22" s="44">
        <f t="shared" si="0"/>
        <v>303928</v>
      </c>
      <c r="L22" s="43"/>
      <c r="M22" s="43">
        <v>3</v>
      </c>
      <c r="N22" s="43">
        <v>4</v>
      </c>
      <c r="O22" s="2"/>
      <c r="P22" s="2"/>
      <c r="Q22" s="2"/>
      <c r="R22" s="2"/>
      <c r="S22" s="2"/>
      <c r="T22" s="2"/>
      <c r="U22" s="2"/>
    </row>
    <row r="23" spans="1:14" ht="12.75">
      <c r="A23" s="41" t="s">
        <v>39</v>
      </c>
      <c r="B23" s="42">
        <v>82</v>
      </c>
      <c r="C23" s="163">
        <v>115420</v>
      </c>
      <c r="D23" s="43"/>
      <c r="E23" s="43"/>
      <c r="F23" s="43"/>
      <c r="G23" s="43"/>
      <c r="H23" s="43"/>
      <c r="I23" s="43"/>
      <c r="J23" s="163">
        <v>0</v>
      </c>
      <c r="K23" s="44">
        <f t="shared" si="0"/>
        <v>115420</v>
      </c>
      <c r="L23" s="43"/>
      <c r="M23" s="43">
        <v>1</v>
      </c>
      <c r="N23" s="43">
        <v>1</v>
      </c>
    </row>
    <row r="24" spans="1:14" ht="12.75">
      <c r="A24" s="41" t="s">
        <v>32</v>
      </c>
      <c r="B24" s="42">
        <v>83</v>
      </c>
      <c r="C24" s="163">
        <v>637265</v>
      </c>
      <c r="D24" s="43"/>
      <c r="E24" s="43"/>
      <c r="F24" s="43"/>
      <c r="G24" s="163">
        <v>27015</v>
      </c>
      <c r="H24" s="43"/>
      <c r="I24" s="43"/>
      <c r="J24" s="163">
        <v>52271</v>
      </c>
      <c r="K24" s="44">
        <f t="shared" si="0"/>
        <v>716551</v>
      </c>
      <c r="L24" s="163">
        <v>6083</v>
      </c>
      <c r="M24" s="43">
        <v>5</v>
      </c>
      <c r="N24" s="43">
        <v>7</v>
      </c>
    </row>
    <row r="25" spans="1:14" ht="12.75">
      <c r="A25" s="41" t="s">
        <v>33</v>
      </c>
      <c r="B25" s="42">
        <v>84</v>
      </c>
      <c r="C25" s="163">
        <v>4836049</v>
      </c>
      <c r="D25" s="43"/>
      <c r="E25" s="43"/>
      <c r="F25" s="43"/>
      <c r="G25" s="163">
        <v>182841</v>
      </c>
      <c r="H25" s="43"/>
      <c r="I25" s="43"/>
      <c r="J25" s="163">
        <v>356256</v>
      </c>
      <c r="K25" s="44">
        <f t="shared" si="0"/>
        <v>5375146</v>
      </c>
      <c r="L25" s="163">
        <v>130824</v>
      </c>
      <c r="M25" s="43">
        <v>38</v>
      </c>
      <c r="N25" s="43">
        <v>28</v>
      </c>
    </row>
    <row r="26" spans="1:14" ht="12.75">
      <c r="A26" s="41" t="s">
        <v>34</v>
      </c>
      <c r="B26" s="42">
        <v>85</v>
      </c>
      <c r="C26" s="163">
        <v>533112</v>
      </c>
      <c r="D26" s="43"/>
      <c r="E26" s="43"/>
      <c r="F26" s="163">
        <v>10000</v>
      </c>
      <c r="G26" s="163">
        <v>106451</v>
      </c>
      <c r="H26" s="43"/>
      <c r="I26" s="43"/>
      <c r="J26" s="163">
        <v>43227</v>
      </c>
      <c r="K26" s="44">
        <f t="shared" si="0"/>
        <v>692790</v>
      </c>
      <c r="L26" s="163">
        <v>2467</v>
      </c>
      <c r="M26" s="43">
        <v>3</v>
      </c>
      <c r="N26" s="43">
        <v>1</v>
      </c>
    </row>
    <row r="27" spans="1:14" ht="12.75">
      <c r="A27" s="41" t="s">
        <v>35</v>
      </c>
      <c r="B27" s="42">
        <v>86</v>
      </c>
      <c r="C27" s="163">
        <v>1419900</v>
      </c>
      <c r="D27" s="43"/>
      <c r="E27" s="43"/>
      <c r="F27" s="163"/>
      <c r="G27" s="163">
        <v>5009</v>
      </c>
      <c r="H27" s="43"/>
      <c r="I27" s="43"/>
      <c r="J27" s="163">
        <v>98950</v>
      </c>
      <c r="K27" s="44">
        <f t="shared" si="0"/>
        <v>1523859</v>
      </c>
      <c r="L27" s="163"/>
      <c r="M27" s="43">
        <v>6</v>
      </c>
      <c r="N27" s="43">
        <v>4</v>
      </c>
    </row>
    <row r="28" spans="1:14" ht="12.75">
      <c r="A28" s="41" t="s">
        <v>36</v>
      </c>
      <c r="B28" s="42">
        <v>87</v>
      </c>
      <c r="C28" s="163">
        <v>516500</v>
      </c>
      <c r="D28" s="43"/>
      <c r="E28" s="43"/>
      <c r="F28" s="163">
        <v>30000</v>
      </c>
      <c r="G28" s="163">
        <v>39200</v>
      </c>
      <c r="H28" s="43"/>
      <c r="I28" s="43"/>
      <c r="J28" s="163">
        <v>43042</v>
      </c>
      <c r="K28" s="44">
        <f t="shared" si="0"/>
        <v>628742</v>
      </c>
      <c r="L28" s="163"/>
      <c r="M28" s="43">
        <v>2</v>
      </c>
      <c r="N28" s="43">
        <v>1</v>
      </c>
    </row>
    <row r="29" spans="1:14" ht="12.75">
      <c r="A29" s="41" t="s">
        <v>37</v>
      </c>
      <c r="B29" s="42">
        <v>88</v>
      </c>
      <c r="C29" s="163">
        <v>557400</v>
      </c>
      <c r="D29" s="43"/>
      <c r="E29" s="43"/>
      <c r="F29" s="43"/>
      <c r="G29" s="163">
        <v>39200</v>
      </c>
      <c r="H29" s="43"/>
      <c r="I29" s="43"/>
      <c r="J29" s="163">
        <v>46450</v>
      </c>
      <c r="K29" s="44">
        <f t="shared" si="0"/>
        <v>643050</v>
      </c>
      <c r="L29" s="163"/>
      <c r="M29" s="43">
        <v>2</v>
      </c>
      <c r="N29" s="43">
        <v>3</v>
      </c>
    </row>
    <row r="30" spans="1:14" ht="12.75">
      <c r="A30" s="41" t="s">
        <v>40</v>
      </c>
      <c r="B30" s="42">
        <v>89</v>
      </c>
      <c r="C30" s="163">
        <v>1130827</v>
      </c>
      <c r="D30" s="43"/>
      <c r="E30" s="43"/>
      <c r="F30" s="43"/>
      <c r="G30" s="43"/>
      <c r="H30" s="43"/>
      <c r="I30" s="43"/>
      <c r="J30" s="163">
        <v>102717</v>
      </c>
      <c r="K30" s="44">
        <f t="shared" si="0"/>
        <v>1233544</v>
      </c>
      <c r="L30" s="163">
        <v>120018</v>
      </c>
      <c r="M30" s="43">
        <v>4</v>
      </c>
      <c r="N30" s="43">
        <v>0</v>
      </c>
    </row>
    <row r="31" spans="1:14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3"/>
      <c r="K31" s="44">
        <f t="shared" si="0"/>
        <v>0</v>
      </c>
      <c r="L31" s="43"/>
      <c r="M31" s="43"/>
      <c r="N31" s="43">
        <v>0</v>
      </c>
    </row>
    <row r="32" spans="1:14" s="48" customFormat="1" ht="12.75">
      <c r="A32" s="46" t="s">
        <v>73</v>
      </c>
      <c r="B32" s="42">
        <v>92</v>
      </c>
      <c r="C32" s="47">
        <f>SUM(C12:C31)</f>
        <v>10026059</v>
      </c>
      <c r="D32" s="47">
        <f aca="true" t="shared" si="1" ref="D32:J32">SUM(D12:D31)</f>
        <v>0</v>
      </c>
      <c r="E32" s="47">
        <f t="shared" si="1"/>
        <v>0</v>
      </c>
      <c r="F32" s="47">
        <f t="shared" si="1"/>
        <v>40000</v>
      </c>
      <c r="G32" s="47">
        <f t="shared" si="1"/>
        <v>399716</v>
      </c>
      <c r="H32" s="47">
        <f t="shared" si="1"/>
        <v>0</v>
      </c>
      <c r="I32" s="47">
        <f t="shared" si="1"/>
        <v>0</v>
      </c>
      <c r="J32" s="47">
        <f t="shared" si="1"/>
        <v>767255</v>
      </c>
      <c r="K32" s="44">
        <f t="shared" si="0"/>
        <v>11233030</v>
      </c>
      <c r="L32" s="47">
        <f>SUM(L12:L31)</f>
        <v>259392</v>
      </c>
      <c r="M32" s="47">
        <f>SUM(M12:M31)</f>
        <v>64</v>
      </c>
      <c r="N32" s="47">
        <f>SUM(N12:N31)</f>
        <v>49</v>
      </c>
    </row>
    <row r="33" spans="1:14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3"/>
      <c r="K33" s="44">
        <f t="shared" si="0"/>
        <v>0</v>
      </c>
      <c r="L33" s="43"/>
      <c r="M33" s="43"/>
      <c r="N33" s="43"/>
    </row>
    <row r="34" spans="1:14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3"/>
      <c r="K34" s="44">
        <f t="shared" si="0"/>
        <v>0</v>
      </c>
      <c r="L34" s="43"/>
      <c r="M34" s="43"/>
      <c r="N34" s="43"/>
    </row>
    <row r="35" spans="1:14" s="48" customFormat="1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3"/>
      <c r="K35" s="44">
        <f t="shared" si="0"/>
        <v>0</v>
      </c>
      <c r="L35" s="43"/>
      <c r="M35" s="43"/>
      <c r="N35" s="43"/>
    </row>
    <row r="36" spans="1:14" s="48" customFormat="1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3"/>
      <c r="K36" s="44">
        <f t="shared" si="0"/>
        <v>0</v>
      </c>
      <c r="L36" s="43"/>
      <c r="M36" s="43"/>
      <c r="N36" s="43"/>
    </row>
    <row r="37" spans="1:14" s="48" customFormat="1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3"/>
      <c r="K37" s="44">
        <f t="shared" si="0"/>
        <v>0</v>
      </c>
      <c r="L37" s="43"/>
      <c r="M37" s="43"/>
      <c r="N37" s="43"/>
    </row>
    <row r="38" spans="1:14" s="112" customFormat="1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3"/>
      <c r="K38" s="44">
        <f t="shared" si="0"/>
        <v>0</v>
      </c>
      <c r="L38" s="43"/>
      <c r="M38" s="43"/>
      <c r="N38" s="43"/>
    </row>
    <row r="39" spans="1:14" ht="12.75">
      <c r="A39" s="46" t="s">
        <v>72</v>
      </c>
      <c r="B39" s="42">
        <v>110</v>
      </c>
      <c r="C39" s="47">
        <f>SUM(C33:C38)</f>
        <v>0</v>
      </c>
      <c r="D39" s="47">
        <f aca="true" t="shared" si="2" ref="D39:J39"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44">
        <f t="shared" si="0"/>
        <v>0</v>
      </c>
      <c r="L39" s="47">
        <f>SUM(L33:L38)</f>
        <v>0</v>
      </c>
      <c r="M39" s="47">
        <f>SUM(M33:M38)</f>
        <v>0</v>
      </c>
      <c r="N39" s="47">
        <f>SUM(N33:N38)</f>
        <v>0</v>
      </c>
    </row>
    <row r="40" spans="1:14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3"/>
      <c r="K40" s="44">
        <f t="shared" si="0"/>
        <v>0</v>
      </c>
      <c r="L40" s="43"/>
      <c r="M40" s="43"/>
      <c r="N40" s="43"/>
    </row>
    <row r="41" spans="1:14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3"/>
      <c r="K41" s="44">
        <f t="shared" si="0"/>
        <v>0</v>
      </c>
      <c r="L41" s="43"/>
      <c r="M41" s="43"/>
      <c r="N41" s="43"/>
    </row>
    <row r="42" spans="1:14" ht="12.75">
      <c r="A42" s="50" t="s">
        <v>59</v>
      </c>
      <c r="B42" s="42">
        <v>113</v>
      </c>
      <c r="C42" s="163">
        <v>309200</v>
      </c>
      <c r="D42" s="163">
        <v>36718</v>
      </c>
      <c r="E42" s="163">
        <v>92760</v>
      </c>
      <c r="F42" s="163">
        <v>11595</v>
      </c>
      <c r="G42" s="163">
        <v>119815</v>
      </c>
      <c r="H42" s="43"/>
      <c r="I42" s="43"/>
      <c r="J42" s="163">
        <v>47507</v>
      </c>
      <c r="K42" s="44">
        <f t="shared" si="0"/>
        <v>617595</v>
      </c>
      <c r="L42" s="163"/>
      <c r="M42" s="43">
        <v>1</v>
      </c>
      <c r="N42" s="43">
        <v>1</v>
      </c>
    </row>
    <row r="43" spans="1:14" ht="12.75">
      <c r="A43" s="50" t="s">
        <v>60</v>
      </c>
      <c r="B43" s="42">
        <v>114</v>
      </c>
      <c r="C43" s="163">
        <f>1159500</f>
        <v>1159500</v>
      </c>
      <c r="D43" s="163">
        <v>111314</v>
      </c>
      <c r="E43" s="163">
        <v>347852</v>
      </c>
      <c r="F43" s="163">
        <v>52178</v>
      </c>
      <c r="G43" s="163">
        <v>272439</v>
      </c>
      <c r="H43" s="43"/>
      <c r="I43" s="43"/>
      <c r="J43" s="163">
        <v>159947</v>
      </c>
      <c r="K43" s="44">
        <f t="shared" si="0"/>
        <v>2103230</v>
      </c>
      <c r="L43" s="163"/>
      <c r="M43" s="43">
        <v>4</v>
      </c>
      <c r="N43" s="43">
        <v>4</v>
      </c>
    </row>
    <row r="44" spans="1:14" ht="12.75">
      <c r="A44" s="50" t="s">
        <v>61</v>
      </c>
      <c r="B44" s="42">
        <v>115</v>
      </c>
      <c r="C44" s="163">
        <v>4599350</v>
      </c>
      <c r="D44" s="163">
        <v>452986</v>
      </c>
      <c r="E44" s="163">
        <v>1339223</v>
      </c>
      <c r="F44" s="163">
        <v>218373</v>
      </c>
      <c r="G44" s="163">
        <v>546882</v>
      </c>
      <c r="H44" s="43"/>
      <c r="I44" s="43"/>
      <c r="J44" s="163">
        <v>591346</v>
      </c>
      <c r="K44" s="44">
        <f t="shared" si="0"/>
        <v>7748160</v>
      </c>
      <c r="L44" s="163">
        <v>171523</v>
      </c>
      <c r="M44" s="43">
        <v>15</v>
      </c>
      <c r="N44" s="43">
        <v>16</v>
      </c>
    </row>
    <row r="45" spans="1:14" ht="12.75">
      <c r="A45" s="50" t="s">
        <v>62</v>
      </c>
      <c r="B45" s="42">
        <v>119</v>
      </c>
      <c r="C45" s="163">
        <v>15281896</v>
      </c>
      <c r="D45" s="163">
        <v>1721475</v>
      </c>
      <c r="E45" s="163">
        <v>4286986</v>
      </c>
      <c r="F45" s="163">
        <v>1393975</v>
      </c>
      <c r="G45" s="163">
        <v>555307</v>
      </c>
      <c r="H45" s="43"/>
      <c r="I45" s="43"/>
      <c r="J45" s="163">
        <v>1816213</v>
      </c>
      <c r="K45" s="44">
        <f t="shared" si="0"/>
        <v>25055852</v>
      </c>
      <c r="L45" s="163">
        <v>1087290</v>
      </c>
      <c r="M45" s="43">
        <v>81</v>
      </c>
      <c r="N45" s="43">
        <v>89</v>
      </c>
    </row>
    <row r="46" spans="1:14" ht="12.75">
      <c r="A46" s="50" t="s">
        <v>63</v>
      </c>
      <c r="B46" s="42">
        <v>120</v>
      </c>
      <c r="C46" s="163">
        <v>55854569</v>
      </c>
      <c r="D46" s="163">
        <v>8135346</v>
      </c>
      <c r="E46" s="163">
        <v>8613984</v>
      </c>
      <c r="F46" s="163">
        <v>527576</v>
      </c>
      <c r="G46" s="163">
        <v>13401968</v>
      </c>
      <c r="H46" s="43"/>
      <c r="I46" s="43"/>
      <c r="J46" s="163">
        <v>6459610</v>
      </c>
      <c r="K46" s="44">
        <f t="shared" si="0"/>
        <v>92993053</v>
      </c>
      <c r="L46" s="163">
        <v>10046083</v>
      </c>
      <c r="M46" s="43">
        <v>525</v>
      </c>
      <c r="N46" s="43">
        <v>631</v>
      </c>
    </row>
    <row r="47" spans="1:14" ht="12.75">
      <c r="A47" s="46" t="s">
        <v>74</v>
      </c>
      <c r="B47" s="47">
        <v>121</v>
      </c>
      <c r="C47" s="162">
        <f aca="true" t="shared" si="3" ref="C47:J47">SUM(C40:C46)</f>
        <v>77204515</v>
      </c>
      <c r="D47" s="162">
        <f t="shared" si="3"/>
        <v>10457839</v>
      </c>
      <c r="E47" s="162">
        <f t="shared" si="3"/>
        <v>14680805</v>
      </c>
      <c r="F47" s="162">
        <f t="shared" si="3"/>
        <v>2203697</v>
      </c>
      <c r="G47" s="162">
        <f t="shared" si="3"/>
        <v>14896411</v>
      </c>
      <c r="H47" s="47">
        <f t="shared" si="3"/>
        <v>0</v>
      </c>
      <c r="I47" s="47">
        <f t="shared" si="3"/>
        <v>0</v>
      </c>
      <c r="J47" s="47">
        <f t="shared" si="3"/>
        <v>9074623</v>
      </c>
      <c r="K47" s="44">
        <f t="shared" si="0"/>
        <v>128517890</v>
      </c>
      <c r="L47" s="47">
        <f>SUM(L40:L46)</f>
        <v>11304896</v>
      </c>
      <c r="M47" s="47">
        <f>SUM(M40:M46)</f>
        <v>626</v>
      </c>
      <c r="N47" s="47">
        <f>SUM(N40:N46)</f>
        <v>741</v>
      </c>
    </row>
    <row r="48" spans="1:14" ht="12.75">
      <c r="A48" s="46" t="s">
        <v>119</v>
      </c>
      <c r="B48" s="47">
        <v>152</v>
      </c>
      <c r="C48" s="162">
        <f aca="true" t="shared" si="4" ref="C48:J48">C32+C39+C47</f>
        <v>87230574</v>
      </c>
      <c r="D48" s="162">
        <f t="shared" si="4"/>
        <v>10457839</v>
      </c>
      <c r="E48" s="162">
        <f t="shared" si="4"/>
        <v>14680805</v>
      </c>
      <c r="F48" s="162">
        <f t="shared" si="4"/>
        <v>2243697</v>
      </c>
      <c r="G48" s="162">
        <f t="shared" si="4"/>
        <v>15296127</v>
      </c>
      <c r="H48" s="47">
        <f t="shared" si="4"/>
        <v>0</v>
      </c>
      <c r="I48" s="47">
        <f t="shared" si="4"/>
        <v>0</v>
      </c>
      <c r="J48" s="47">
        <f t="shared" si="4"/>
        <v>9841878</v>
      </c>
      <c r="K48" s="44">
        <f t="shared" si="0"/>
        <v>139750920</v>
      </c>
      <c r="L48" s="47">
        <f>L32+L39+L47</f>
        <v>11564288</v>
      </c>
      <c r="M48" s="47">
        <f>M32+M39+M47</f>
        <v>690</v>
      </c>
      <c r="N48" s="47">
        <f>N32+N39+N47</f>
        <v>790</v>
      </c>
    </row>
    <row r="49" spans="1:14" ht="12.75">
      <c r="A49" s="46" t="s">
        <v>51</v>
      </c>
      <c r="B49" s="47">
        <v>158</v>
      </c>
      <c r="C49" s="163">
        <v>414983</v>
      </c>
      <c r="D49" s="51"/>
      <c r="E49" s="51"/>
      <c r="F49" s="51"/>
      <c r="G49" s="163">
        <v>19600</v>
      </c>
      <c r="H49" s="51"/>
      <c r="I49" s="51"/>
      <c r="J49" s="163">
        <v>36159</v>
      </c>
      <c r="K49" s="44">
        <f t="shared" si="0"/>
        <v>470742</v>
      </c>
      <c r="L49" s="51"/>
      <c r="M49" s="51">
        <v>2</v>
      </c>
      <c r="N49" s="51">
        <v>3</v>
      </c>
    </row>
    <row r="50" spans="1:14" ht="12.75">
      <c r="A50" s="46" t="s">
        <v>75</v>
      </c>
      <c r="B50" s="47">
        <v>159</v>
      </c>
      <c r="C50" s="47">
        <f>C48+C49</f>
        <v>87645557</v>
      </c>
      <c r="D50" s="47">
        <f aca="true" t="shared" si="5" ref="D50:J50">D48+D49</f>
        <v>10457839</v>
      </c>
      <c r="E50" s="47">
        <f t="shared" si="5"/>
        <v>14680805</v>
      </c>
      <c r="F50" s="47">
        <f t="shared" si="5"/>
        <v>2243697</v>
      </c>
      <c r="G50" s="47">
        <f t="shared" si="5"/>
        <v>15315727</v>
      </c>
      <c r="H50" s="47">
        <f t="shared" si="5"/>
        <v>0</v>
      </c>
      <c r="I50" s="47">
        <f t="shared" si="5"/>
        <v>0</v>
      </c>
      <c r="J50" s="47">
        <f t="shared" si="5"/>
        <v>9878037</v>
      </c>
      <c r="K50" s="44">
        <f t="shared" si="0"/>
        <v>140221662</v>
      </c>
      <c r="L50" s="47">
        <f>L48+L49</f>
        <v>11564288</v>
      </c>
      <c r="M50" s="47">
        <f>M48+M49</f>
        <v>692</v>
      </c>
      <c r="N50" s="47">
        <f>N48+N49</f>
        <v>793</v>
      </c>
    </row>
    <row r="51" spans="1:14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5"/>
      <c r="L51" s="114"/>
      <c r="M51" s="114"/>
      <c r="N51" s="116"/>
    </row>
    <row r="52" spans="1:14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7"/>
      <c r="N52" s="116"/>
    </row>
    <row r="53" spans="1:14" ht="12.75">
      <c r="A53" s="178" t="s">
        <v>3</v>
      </c>
      <c r="B53" s="136" t="s">
        <v>49</v>
      </c>
      <c r="C53" s="137" t="s">
        <v>4</v>
      </c>
      <c r="D53" s="137" t="s">
        <v>5</v>
      </c>
      <c r="E53" s="137" t="s">
        <v>6</v>
      </c>
      <c r="F53" s="137" t="s">
        <v>80</v>
      </c>
      <c r="G53" s="137" t="s">
        <v>81</v>
      </c>
      <c r="H53" s="137" t="s">
        <v>7</v>
      </c>
      <c r="I53" s="137" t="s">
        <v>42</v>
      </c>
      <c r="J53" s="137" t="s">
        <v>78</v>
      </c>
      <c r="K53" s="138" t="s">
        <v>155</v>
      </c>
      <c r="L53" s="137" t="s">
        <v>157</v>
      </c>
      <c r="M53" s="137" t="s">
        <v>159</v>
      </c>
      <c r="N53" s="116"/>
    </row>
    <row r="54" spans="1:14" ht="12.75">
      <c r="A54" s="179"/>
      <c r="B54" s="54" t="s">
        <v>50</v>
      </c>
      <c r="C54" s="55" t="s">
        <v>9</v>
      </c>
      <c r="D54" s="55" t="s">
        <v>10</v>
      </c>
      <c r="E54" s="55" t="s">
        <v>11</v>
      </c>
      <c r="F54" s="55" t="s">
        <v>10</v>
      </c>
      <c r="G54" s="55" t="s">
        <v>12</v>
      </c>
      <c r="H54" s="55" t="s">
        <v>13</v>
      </c>
      <c r="I54" s="55" t="s">
        <v>43</v>
      </c>
      <c r="J54" s="55" t="s">
        <v>79</v>
      </c>
      <c r="K54" s="117" t="s">
        <v>156</v>
      </c>
      <c r="L54" s="55" t="s">
        <v>158</v>
      </c>
      <c r="M54" s="55" t="s">
        <v>54</v>
      </c>
      <c r="N54" s="116"/>
    </row>
    <row r="55" spans="1:15" ht="12.75">
      <c r="A55" s="60" t="s">
        <v>62</v>
      </c>
      <c r="B55" s="61">
        <v>119</v>
      </c>
      <c r="C55" s="61">
        <v>261308</v>
      </c>
      <c r="D55" s="61">
        <v>26467</v>
      </c>
      <c r="E55" s="61">
        <v>58202</v>
      </c>
      <c r="F55" s="61">
        <v>13107</v>
      </c>
      <c r="G55" s="61">
        <v>13571</v>
      </c>
      <c r="H55" s="61"/>
      <c r="I55" s="61"/>
      <c r="J55" s="61">
        <v>47371</v>
      </c>
      <c r="K55" s="120">
        <f>SUM(C55:J55)</f>
        <v>420026</v>
      </c>
      <c r="L55" s="61">
        <v>16033</v>
      </c>
      <c r="M55" s="61">
        <v>2</v>
      </c>
      <c r="N55" s="134"/>
      <c r="O55" s="45"/>
    </row>
    <row r="56" spans="1:15" ht="12.75">
      <c r="A56" s="60" t="s">
        <v>63</v>
      </c>
      <c r="B56" s="61">
        <v>120</v>
      </c>
      <c r="C56" s="61">
        <v>607645</v>
      </c>
      <c r="D56" s="61">
        <v>94911</v>
      </c>
      <c r="E56" s="61">
        <v>91149</v>
      </c>
      <c r="F56" s="61">
        <v>0</v>
      </c>
      <c r="G56" s="61">
        <v>82731</v>
      </c>
      <c r="H56" s="61"/>
      <c r="I56" s="61"/>
      <c r="J56" s="61">
        <v>61582</v>
      </c>
      <c r="K56" s="120">
        <f>SUM(C56:J56)</f>
        <v>938018</v>
      </c>
      <c r="L56" s="61">
        <v>14400</v>
      </c>
      <c r="M56" s="61">
        <v>10</v>
      </c>
      <c r="N56" s="134"/>
      <c r="O56" s="45"/>
    </row>
    <row r="57" spans="1:15" ht="12" customHeight="1">
      <c r="A57" s="60" t="s">
        <v>33</v>
      </c>
      <c r="B57" s="61">
        <v>84</v>
      </c>
      <c r="C57" s="61">
        <v>138842</v>
      </c>
      <c r="D57" s="61"/>
      <c r="E57" s="61"/>
      <c r="F57" s="61"/>
      <c r="G57" s="61"/>
      <c r="H57" s="61"/>
      <c r="I57" s="61"/>
      <c r="J57" s="61">
        <v>19208</v>
      </c>
      <c r="K57" s="120">
        <f>SUM(C57:J57)</f>
        <v>158050</v>
      </c>
      <c r="L57" s="61"/>
      <c r="M57" s="61">
        <v>2</v>
      </c>
      <c r="N57" s="134"/>
      <c r="O57" s="45"/>
    </row>
    <row r="58" spans="1:15" ht="12.75">
      <c r="A58" s="60" t="s">
        <v>40</v>
      </c>
      <c r="B58" s="61">
        <v>89</v>
      </c>
      <c r="C58" s="61">
        <v>232627</v>
      </c>
      <c r="D58" s="61"/>
      <c r="E58" s="61"/>
      <c r="F58" s="61"/>
      <c r="G58" s="61"/>
      <c r="H58" s="61"/>
      <c r="I58" s="61"/>
      <c r="J58" s="61">
        <v>27867</v>
      </c>
      <c r="K58" s="120">
        <f>SUM(C58:J58)</f>
        <v>260494</v>
      </c>
      <c r="L58" s="61">
        <v>9462</v>
      </c>
      <c r="M58" s="61">
        <v>1</v>
      </c>
      <c r="N58" s="134"/>
      <c r="O58" s="45"/>
    </row>
    <row r="60" spans="1:5" ht="12.75">
      <c r="A60" s="63" t="s">
        <v>21</v>
      </c>
      <c r="B60" s="175" t="s">
        <v>209</v>
      </c>
      <c r="C60" s="175"/>
      <c r="D60" s="175"/>
      <c r="E60" s="64"/>
    </row>
    <row r="61" spans="10:11" ht="12.75">
      <c r="J61" s="174" t="s">
        <v>211</v>
      </c>
      <c r="K61" s="174"/>
    </row>
    <row r="62" spans="10:11" ht="12.75">
      <c r="J62" s="173" t="s">
        <v>48</v>
      </c>
      <c r="K62" s="173"/>
    </row>
  </sheetData>
  <sheetProtection/>
  <mergeCells count="14">
    <mergeCell ref="A53:A54"/>
    <mergeCell ref="A52:M52"/>
    <mergeCell ref="K3:L3"/>
    <mergeCell ref="K2:L2"/>
    <mergeCell ref="B60:D60"/>
    <mergeCell ref="J61:K61"/>
    <mergeCell ref="J62:K62"/>
    <mergeCell ref="F5:M5"/>
    <mergeCell ref="A5:D5"/>
    <mergeCell ref="C10:D10"/>
    <mergeCell ref="M9:N9"/>
    <mergeCell ref="M7:M8"/>
    <mergeCell ref="N7:N8"/>
    <mergeCell ref="C7:D7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9" ht="12.75">
      <c r="A2" s="3" t="s">
        <v>71</v>
      </c>
      <c r="G2" s="5" t="s">
        <v>0</v>
      </c>
      <c r="H2" s="169" t="s">
        <v>210</v>
      </c>
      <c r="I2" s="170"/>
    </row>
    <row r="3" spans="1:9" ht="12.75">
      <c r="A3" s="3"/>
      <c r="G3" s="5" t="s">
        <v>77</v>
      </c>
      <c r="H3" s="169" t="s">
        <v>208</v>
      </c>
      <c r="I3" s="170"/>
    </row>
    <row r="4" ht="18" customHeight="1">
      <c r="A4" s="6"/>
    </row>
    <row r="5" spans="1:10" ht="18">
      <c r="A5" s="172" t="s">
        <v>85</v>
      </c>
      <c r="B5" s="172"/>
      <c r="C5" s="172"/>
      <c r="D5" s="172"/>
      <c r="E5" s="172"/>
      <c r="F5" s="7" t="s">
        <v>83</v>
      </c>
      <c r="G5" s="171" t="s">
        <v>165</v>
      </c>
      <c r="H5" s="171"/>
      <c r="I5" s="171"/>
      <c r="J5" s="17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21" t="s">
        <v>115</v>
      </c>
      <c r="E7" s="121"/>
      <c r="F7" s="16" t="s">
        <v>107</v>
      </c>
      <c r="G7" s="16" t="s">
        <v>110</v>
      </c>
      <c r="H7" s="16" t="s">
        <v>112</v>
      </c>
      <c r="I7" s="16" t="s">
        <v>112</v>
      </c>
      <c r="J7" s="122" t="s">
        <v>112</v>
      </c>
    </row>
    <row r="8" spans="1:10" ht="12.75">
      <c r="A8" s="123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4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4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7" t="s">
        <v>181</v>
      </c>
      <c r="G10" s="27" t="s">
        <v>183</v>
      </c>
      <c r="H10" s="27" t="s">
        <v>187</v>
      </c>
      <c r="I10" s="27" t="s">
        <v>184</v>
      </c>
      <c r="J10" s="146" t="s">
        <v>182</v>
      </c>
    </row>
    <row r="11" spans="1:10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125"/>
    </row>
    <row r="12" spans="1:15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4">
        <f>SUM(C12:I12)</f>
        <v>0</v>
      </c>
      <c r="K12" s="64"/>
      <c r="L12" s="64"/>
      <c r="M12" s="64"/>
      <c r="N12" s="64"/>
      <c r="O12" s="64"/>
    </row>
    <row r="13" spans="1:15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4">
        <f aca="true" t="shared" si="0" ref="J13:J50">SUM(C13:I13)</f>
        <v>0</v>
      </c>
      <c r="K13" s="64"/>
      <c r="L13" s="64"/>
      <c r="M13" s="64"/>
      <c r="N13" s="64"/>
      <c r="O13" s="64"/>
    </row>
    <row r="14" spans="1:15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4">
        <f t="shared" si="0"/>
        <v>0</v>
      </c>
      <c r="K14" s="64"/>
      <c r="L14" s="64"/>
      <c r="M14" s="64"/>
      <c r="N14" s="64"/>
      <c r="O14" s="64"/>
    </row>
    <row r="15" spans="1:15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4">
        <f t="shared" si="0"/>
        <v>0</v>
      </c>
      <c r="K15" s="64"/>
      <c r="L15" s="64"/>
      <c r="M15" s="64"/>
      <c r="N15" s="64"/>
      <c r="O15" s="64"/>
    </row>
    <row r="16" spans="1:15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4">
        <f t="shared" si="0"/>
        <v>0</v>
      </c>
      <c r="K16" s="64"/>
      <c r="L16" s="64"/>
      <c r="M16" s="64"/>
      <c r="N16" s="64"/>
      <c r="O16" s="64"/>
    </row>
    <row r="17" spans="1:15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4">
        <f t="shared" si="0"/>
        <v>0</v>
      </c>
      <c r="K17" s="64"/>
      <c r="L17" s="64"/>
      <c r="M17" s="64"/>
      <c r="N17" s="64"/>
      <c r="O17" s="64"/>
    </row>
    <row r="18" spans="1:15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4">
        <f t="shared" si="0"/>
        <v>0</v>
      </c>
      <c r="K18" s="64"/>
      <c r="L18" s="64"/>
      <c r="M18" s="64"/>
      <c r="N18" s="64"/>
      <c r="O18" s="64"/>
    </row>
    <row r="19" spans="1:15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4">
        <f t="shared" si="0"/>
        <v>0</v>
      </c>
      <c r="K19" s="64"/>
      <c r="L19" s="64"/>
      <c r="M19" s="64"/>
      <c r="N19" s="64"/>
      <c r="O19" s="64"/>
    </row>
    <row r="20" spans="1:15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4">
        <f t="shared" si="0"/>
        <v>0</v>
      </c>
      <c r="K20" s="64"/>
      <c r="L20" s="64"/>
      <c r="M20" s="64"/>
      <c r="N20" s="64"/>
      <c r="O20" s="64"/>
    </row>
    <row r="21" spans="1:15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4">
        <f t="shared" si="0"/>
        <v>0</v>
      </c>
      <c r="K21" s="64"/>
      <c r="L21" s="64"/>
      <c r="M21" s="64"/>
      <c r="N21" s="64"/>
      <c r="O21" s="64"/>
    </row>
    <row r="22" spans="1:18" s="45" customFormat="1" ht="12.75" customHeight="1">
      <c r="A22" s="41" t="s">
        <v>38</v>
      </c>
      <c r="B22" s="42">
        <v>81</v>
      </c>
      <c r="C22" s="163">
        <f>72943+13679+1521</f>
        <v>88143</v>
      </c>
      <c r="D22" s="43"/>
      <c r="E22" s="163">
        <v>9119</v>
      </c>
      <c r="F22" s="163">
        <v>5720</v>
      </c>
      <c r="G22" s="43"/>
      <c r="H22" s="43"/>
      <c r="I22" s="43"/>
      <c r="J22" s="44">
        <f t="shared" si="0"/>
        <v>102982</v>
      </c>
      <c r="K22" s="64"/>
      <c r="L22" s="64"/>
      <c r="M22" s="64"/>
      <c r="N22" s="64"/>
      <c r="O22" s="64"/>
      <c r="P22" s="2"/>
      <c r="Q22" s="2"/>
      <c r="R22" s="2"/>
    </row>
    <row r="23" spans="1:15" ht="12.75">
      <c r="A23" s="41" t="s">
        <v>39</v>
      </c>
      <c r="B23" s="42">
        <v>82</v>
      </c>
      <c r="C23" s="163">
        <f>27701+5194+577</f>
        <v>33472</v>
      </c>
      <c r="D23" s="43"/>
      <c r="E23" s="163">
        <v>3463</v>
      </c>
      <c r="F23" s="163">
        <v>1950</v>
      </c>
      <c r="G23" s="43"/>
      <c r="H23" s="43"/>
      <c r="I23" s="43"/>
      <c r="J23" s="44">
        <f t="shared" si="0"/>
        <v>38885</v>
      </c>
      <c r="K23" s="64"/>
      <c r="L23" s="64"/>
      <c r="M23" s="64"/>
      <c r="N23" s="64"/>
      <c r="O23" s="64"/>
    </row>
    <row r="24" spans="1:15" ht="12.75">
      <c r="A24" s="41" t="s">
        <v>32</v>
      </c>
      <c r="B24" s="42">
        <v>83</v>
      </c>
      <c r="C24" s="163">
        <f>191457+35368+2703</f>
        <v>229528</v>
      </c>
      <c r="D24" s="43"/>
      <c r="E24" s="163">
        <v>23744</v>
      </c>
      <c r="F24" s="163">
        <v>10855</v>
      </c>
      <c r="G24" s="43"/>
      <c r="H24" s="43"/>
      <c r="I24" s="43"/>
      <c r="J24" s="44">
        <f t="shared" si="0"/>
        <v>264127</v>
      </c>
      <c r="K24" s="64"/>
      <c r="L24" s="64"/>
      <c r="M24" s="64"/>
      <c r="N24" s="64"/>
      <c r="O24" s="64"/>
    </row>
    <row r="25" spans="1:15" ht="12.75">
      <c r="A25" s="41" t="s">
        <v>33</v>
      </c>
      <c r="B25" s="42">
        <v>84</v>
      </c>
      <c r="C25" s="163">
        <f>1328272+247302+23457</f>
        <v>1599031</v>
      </c>
      <c r="D25" s="43"/>
      <c r="E25" s="163">
        <v>165421</v>
      </c>
      <c r="F25" s="163">
        <v>72735</v>
      </c>
      <c r="G25" s="163"/>
      <c r="H25" s="43"/>
      <c r="I25" s="43"/>
      <c r="J25" s="44">
        <f t="shared" si="0"/>
        <v>1837187</v>
      </c>
      <c r="K25" s="64"/>
      <c r="L25" s="64"/>
      <c r="M25" s="64"/>
      <c r="N25" s="64"/>
      <c r="O25" s="64"/>
    </row>
    <row r="26" spans="1:15" ht="12.75">
      <c r="A26" s="41" t="s">
        <v>34</v>
      </c>
      <c r="B26" s="42">
        <v>85</v>
      </c>
      <c r="C26" s="163">
        <f>170951+30605+70</f>
        <v>201626</v>
      </c>
      <c r="D26" s="43"/>
      <c r="E26" s="163">
        <v>20859</v>
      </c>
      <c r="F26" s="163">
        <v>5850</v>
      </c>
      <c r="G26" s="43"/>
      <c r="H26" s="43"/>
      <c r="I26" s="43"/>
      <c r="J26" s="44">
        <f t="shared" si="0"/>
        <v>228335</v>
      </c>
      <c r="K26" s="64"/>
      <c r="L26" s="64"/>
      <c r="M26" s="64"/>
      <c r="N26" s="64"/>
      <c r="O26" s="64"/>
    </row>
    <row r="27" spans="1:15" ht="12.75">
      <c r="A27" s="41" t="s">
        <v>35</v>
      </c>
      <c r="B27" s="42">
        <v>86</v>
      </c>
      <c r="C27" s="163">
        <f>365726+68574+7621</f>
        <v>441921</v>
      </c>
      <c r="D27" s="43"/>
      <c r="E27" s="163">
        <v>45717</v>
      </c>
      <c r="F27" s="163">
        <v>11700</v>
      </c>
      <c r="G27" s="43"/>
      <c r="H27" s="43"/>
      <c r="I27" s="43"/>
      <c r="J27" s="44">
        <f t="shared" si="0"/>
        <v>499338</v>
      </c>
      <c r="K27" s="64"/>
      <c r="L27" s="64"/>
      <c r="M27" s="64"/>
      <c r="N27" s="64"/>
      <c r="O27" s="64"/>
    </row>
    <row r="28" spans="1:15" ht="12.75">
      <c r="A28" s="41" t="s">
        <v>36</v>
      </c>
      <c r="B28" s="42">
        <v>87</v>
      </c>
      <c r="C28" s="163">
        <f>150898+28294+3144</f>
        <v>182336</v>
      </c>
      <c r="D28" s="43"/>
      <c r="E28" s="163">
        <v>18863</v>
      </c>
      <c r="F28" s="163">
        <v>3900</v>
      </c>
      <c r="G28" s="43"/>
      <c r="H28" s="43"/>
      <c r="I28" s="43"/>
      <c r="J28" s="44">
        <f t="shared" si="0"/>
        <v>205099</v>
      </c>
      <c r="K28" s="64"/>
      <c r="L28" s="64"/>
      <c r="M28" s="64"/>
      <c r="N28" s="64"/>
      <c r="O28" s="64"/>
    </row>
    <row r="29" spans="1:15" ht="12.75">
      <c r="A29" s="41" t="s">
        <v>37</v>
      </c>
      <c r="B29" s="42">
        <v>88</v>
      </c>
      <c r="C29" s="163">
        <f>154332+28937+3216</f>
        <v>186485</v>
      </c>
      <c r="D29" s="43"/>
      <c r="E29" s="163">
        <v>19292</v>
      </c>
      <c r="F29" s="163">
        <v>3900</v>
      </c>
      <c r="G29" s="43"/>
      <c r="H29" s="43"/>
      <c r="I29" s="43"/>
      <c r="J29" s="44">
        <f t="shared" si="0"/>
        <v>209677</v>
      </c>
      <c r="K29" s="64"/>
      <c r="L29" s="64"/>
      <c r="M29" s="64"/>
      <c r="N29" s="64"/>
      <c r="O29" s="64"/>
    </row>
    <row r="30" spans="1:15" ht="12.75">
      <c r="A30" s="41" t="s">
        <v>40</v>
      </c>
      <c r="B30" s="42">
        <v>89</v>
      </c>
      <c r="C30" s="163">
        <f>344395+64576+7176</f>
        <v>416147</v>
      </c>
      <c r="D30" s="43"/>
      <c r="E30" s="163">
        <v>43050</v>
      </c>
      <c r="F30" s="163">
        <v>7800</v>
      </c>
      <c r="G30" s="43"/>
      <c r="H30" s="43"/>
      <c r="I30" s="43"/>
      <c r="J30" s="44">
        <f t="shared" si="0"/>
        <v>466997</v>
      </c>
      <c r="K30" s="64"/>
      <c r="L30" s="64"/>
      <c r="M30" s="64"/>
      <c r="N30" s="64"/>
      <c r="O30" s="64"/>
    </row>
    <row r="31" spans="1:15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4">
        <f t="shared" si="0"/>
        <v>0</v>
      </c>
      <c r="K31" s="64"/>
      <c r="L31" s="64"/>
      <c r="M31" s="64"/>
      <c r="N31" s="64"/>
      <c r="O31" s="64"/>
    </row>
    <row r="32" spans="1:15" s="48" customFormat="1" ht="12.75">
      <c r="A32" s="46" t="s">
        <v>73</v>
      </c>
      <c r="B32" s="42">
        <v>92</v>
      </c>
      <c r="C32" s="47">
        <f aca="true" t="shared" si="1" ref="C32:I32">SUM(C12:C31)</f>
        <v>3378689</v>
      </c>
      <c r="D32" s="47">
        <f>SUM(D12:D31)</f>
        <v>0</v>
      </c>
      <c r="E32" s="47">
        <f t="shared" si="1"/>
        <v>349528</v>
      </c>
      <c r="F32" s="47">
        <f t="shared" si="1"/>
        <v>124410</v>
      </c>
      <c r="G32" s="47">
        <v>7653</v>
      </c>
      <c r="H32" s="47">
        <f t="shared" si="1"/>
        <v>0</v>
      </c>
      <c r="I32" s="47">
        <f t="shared" si="1"/>
        <v>0</v>
      </c>
      <c r="J32" s="44">
        <f t="shared" si="0"/>
        <v>3860280</v>
      </c>
      <c r="K32" s="126"/>
      <c r="L32" s="126"/>
      <c r="M32" s="126"/>
      <c r="N32" s="126"/>
      <c r="O32" s="126"/>
    </row>
    <row r="33" spans="1:15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4">
        <f t="shared" si="0"/>
        <v>0</v>
      </c>
      <c r="K33" s="64"/>
      <c r="L33" s="64"/>
      <c r="M33" s="64"/>
      <c r="N33" s="64"/>
      <c r="O33" s="64"/>
    </row>
    <row r="34" spans="1:15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4">
        <f t="shared" si="0"/>
        <v>0</v>
      </c>
      <c r="K34" s="64"/>
      <c r="L34" s="64"/>
      <c r="M34" s="64"/>
      <c r="N34" s="64"/>
      <c r="O34" s="64"/>
    </row>
    <row r="35" spans="1:15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4">
        <f t="shared" si="0"/>
        <v>0</v>
      </c>
      <c r="K35" s="64"/>
      <c r="L35" s="64"/>
      <c r="M35" s="64"/>
      <c r="N35" s="64"/>
      <c r="O35" s="64"/>
    </row>
    <row r="36" spans="1:15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4">
        <f t="shared" si="0"/>
        <v>0</v>
      </c>
      <c r="K36" s="64"/>
      <c r="L36" s="64"/>
      <c r="M36" s="64"/>
      <c r="N36" s="64"/>
      <c r="O36" s="64"/>
    </row>
    <row r="37" spans="1:15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4">
        <f t="shared" si="0"/>
        <v>0</v>
      </c>
      <c r="K37" s="64"/>
      <c r="L37" s="64"/>
      <c r="M37" s="64"/>
      <c r="N37" s="64"/>
      <c r="O37" s="64"/>
    </row>
    <row r="38" spans="1:15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4">
        <f t="shared" si="0"/>
        <v>0</v>
      </c>
      <c r="K38" s="64"/>
      <c r="L38" s="64"/>
      <c r="M38" s="64"/>
      <c r="N38" s="64"/>
      <c r="O38" s="64"/>
    </row>
    <row r="39" spans="1:15" s="48" customFormat="1" ht="12.75">
      <c r="A39" s="46" t="s">
        <v>72</v>
      </c>
      <c r="B39" s="42">
        <v>110</v>
      </c>
      <c r="C39" s="47">
        <f aca="true" t="shared" si="2" ref="C39:I39">SUM(C33:C38)</f>
        <v>0</v>
      </c>
      <c r="D39" s="47">
        <f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4">
        <f t="shared" si="0"/>
        <v>0</v>
      </c>
      <c r="K39" s="126"/>
      <c r="L39" s="126"/>
      <c r="M39" s="126"/>
      <c r="N39" s="126"/>
      <c r="O39" s="126"/>
    </row>
    <row r="40" spans="1:15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4">
        <f t="shared" si="0"/>
        <v>0</v>
      </c>
      <c r="K40" s="64"/>
      <c r="L40" s="64"/>
      <c r="M40" s="64"/>
      <c r="N40" s="64"/>
      <c r="O40" s="64"/>
    </row>
    <row r="41" spans="1:15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4">
        <f t="shared" si="0"/>
        <v>0</v>
      </c>
      <c r="K41" s="64"/>
      <c r="L41" s="64"/>
      <c r="M41" s="64"/>
      <c r="N41" s="64"/>
      <c r="O41" s="64"/>
    </row>
    <row r="42" spans="1:15" ht="12.75">
      <c r="A42" s="50" t="s">
        <v>59</v>
      </c>
      <c r="B42" s="42">
        <v>113</v>
      </c>
      <c r="C42" s="163">
        <f>150043+27489+1571</f>
        <v>179103</v>
      </c>
      <c r="D42" s="43"/>
      <c r="E42" s="163">
        <v>18528</v>
      </c>
      <c r="F42" s="163">
        <v>1950</v>
      </c>
      <c r="G42" s="43"/>
      <c r="H42" s="43"/>
      <c r="I42" s="43"/>
      <c r="J42" s="44">
        <f t="shared" si="0"/>
        <v>199581</v>
      </c>
      <c r="K42" s="64"/>
      <c r="L42" s="64"/>
      <c r="M42" s="64"/>
      <c r="N42" s="64"/>
      <c r="O42" s="64"/>
    </row>
    <row r="43" spans="1:15" ht="12.75">
      <c r="A43" s="50" t="s">
        <v>60</v>
      </c>
      <c r="B43" s="42">
        <v>114</v>
      </c>
      <c r="C43" s="163">
        <f>509995+93775+6165</f>
        <v>609935</v>
      </c>
      <c r="D43" s="43"/>
      <c r="E43" s="163">
        <v>63098</v>
      </c>
      <c r="F43" s="163">
        <v>7800</v>
      </c>
      <c r="G43" s="43"/>
      <c r="H43" s="43"/>
      <c r="I43" s="43"/>
      <c r="J43" s="44">
        <f t="shared" si="0"/>
        <v>680833</v>
      </c>
      <c r="K43" s="64"/>
      <c r="L43" s="64"/>
      <c r="M43" s="64"/>
      <c r="N43" s="64"/>
      <c r="O43" s="64"/>
    </row>
    <row r="44" spans="1:15" ht="12.75">
      <c r="A44" s="50" t="s">
        <v>61</v>
      </c>
      <c r="B44" s="42">
        <v>115</v>
      </c>
      <c r="C44" s="163">
        <f>1929763+351548+15405</f>
        <v>2296716</v>
      </c>
      <c r="D44" s="43"/>
      <c r="E44" s="163">
        <v>237592</v>
      </c>
      <c r="F44" s="163">
        <v>31135</v>
      </c>
      <c r="G44" s="43"/>
      <c r="H44" s="43"/>
      <c r="I44" s="43"/>
      <c r="J44" s="44">
        <f t="shared" si="0"/>
        <v>2565443</v>
      </c>
      <c r="K44" s="64"/>
      <c r="L44" s="64"/>
      <c r="M44" s="64"/>
      <c r="N44" s="64"/>
      <c r="O44" s="64"/>
    </row>
    <row r="45" spans="1:15" ht="12.75">
      <c r="A45" s="50" t="s">
        <v>62</v>
      </c>
      <c r="B45" s="42">
        <v>119</v>
      </c>
      <c r="C45" s="163">
        <f>6323224+1161416+44556</f>
        <v>7529196</v>
      </c>
      <c r="D45" s="43"/>
      <c r="E45" s="163">
        <v>785786</v>
      </c>
      <c r="F45" s="163">
        <v>138125</v>
      </c>
      <c r="G45" s="43"/>
      <c r="H45" s="43"/>
      <c r="I45" s="43"/>
      <c r="J45" s="44">
        <f t="shared" si="0"/>
        <v>8453107</v>
      </c>
      <c r="K45" s="64"/>
      <c r="L45" s="64"/>
      <c r="M45" s="64"/>
      <c r="N45" s="64"/>
      <c r="O45" s="64"/>
    </row>
    <row r="46" spans="1:15" ht="12.75">
      <c r="A46" s="50" t="s">
        <v>63</v>
      </c>
      <c r="B46" s="42">
        <v>120</v>
      </c>
      <c r="C46" s="163">
        <f>25164049+4617919+288851</f>
        <v>30070819</v>
      </c>
      <c r="D46" s="43"/>
      <c r="E46" s="163">
        <v>3111802</v>
      </c>
      <c r="F46" s="163">
        <v>967680</v>
      </c>
      <c r="G46" s="43"/>
      <c r="H46" s="43"/>
      <c r="I46" s="43"/>
      <c r="J46" s="44">
        <f t="shared" si="0"/>
        <v>34150301</v>
      </c>
      <c r="K46" s="64"/>
      <c r="L46" s="64"/>
      <c r="M46" s="64"/>
      <c r="N46" s="64"/>
      <c r="O46" s="64"/>
    </row>
    <row r="47" spans="1:15" s="48" customFormat="1" ht="12.75">
      <c r="A47" s="46" t="s">
        <v>74</v>
      </c>
      <c r="B47" s="47">
        <v>121</v>
      </c>
      <c r="C47" s="47">
        <f aca="true" t="shared" si="3" ref="C47:I47">SUM(C40:C46)</f>
        <v>40685769</v>
      </c>
      <c r="D47" s="47">
        <f>SUM(D40:D46)</f>
        <v>0</v>
      </c>
      <c r="E47" s="47">
        <f t="shared" si="3"/>
        <v>4216806</v>
      </c>
      <c r="F47" s="47">
        <f t="shared" si="3"/>
        <v>1146690</v>
      </c>
      <c r="G47" s="47">
        <v>936088</v>
      </c>
      <c r="H47" s="47">
        <f t="shared" si="3"/>
        <v>0</v>
      </c>
      <c r="I47" s="47">
        <f t="shared" si="3"/>
        <v>0</v>
      </c>
      <c r="J47" s="44">
        <f t="shared" si="0"/>
        <v>46985353</v>
      </c>
      <c r="K47" s="126"/>
      <c r="L47" s="126"/>
      <c r="M47" s="126"/>
      <c r="N47" s="126"/>
      <c r="O47" s="126"/>
    </row>
    <row r="48" spans="1:15" s="48" customFormat="1" ht="12.75">
      <c r="A48" s="46" t="s">
        <v>119</v>
      </c>
      <c r="B48" s="47">
        <v>152</v>
      </c>
      <c r="C48" s="47">
        <f aca="true" t="shared" si="4" ref="C48:J48">C32+C39+C47</f>
        <v>44064458</v>
      </c>
      <c r="D48" s="47">
        <f t="shared" si="4"/>
        <v>0</v>
      </c>
      <c r="E48" s="47">
        <f t="shared" si="4"/>
        <v>4566334</v>
      </c>
      <c r="F48" s="47">
        <f t="shared" si="4"/>
        <v>1271100</v>
      </c>
      <c r="G48" s="47">
        <f t="shared" si="4"/>
        <v>943741</v>
      </c>
      <c r="H48" s="47">
        <f t="shared" si="4"/>
        <v>0</v>
      </c>
      <c r="I48" s="47">
        <f t="shared" si="4"/>
        <v>0</v>
      </c>
      <c r="J48" s="47">
        <f t="shared" si="4"/>
        <v>50845633</v>
      </c>
      <c r="K48" s="126"/>
      <c r="L48" s="126"/>
      <c r="M48" s="126"/>
      <c r="N48" s="126"/>
      <c r="O48" s="126"/>
    </row>
    <row r="49" spans="1:15" s="48" customFormat="1" ht="12.75">
      <c r="A49" s="46" t="s">
        <v>51</v>
      </c>
      <c r="B49" s="47">
        <v>158</v>
      </c>
      <c r="C49" s="166">
        <f>117518+22035+2449</f>
        <v>142002</v>
      </c>
      <c r="D49" s="51"/>
      <c r="E49" s="163">
        <v>14690</v>
      </c>
      <c r="F49" s="163">
        <v>2438</v>
      </c>
      <c r="G49" s="51"/>
      <c r="H49" s="51"/>
      <c r="I49" s="51"/>
      <c r="J49" s="44">
        <f t="shared" si="0"/>
        <v>159130</v>
      </c>
      <c r="K49" s="126"/>
      <c r="L49" s="126"/>
      <c r="M49" s="126"/>
      <c r="N49" s="126"/>
      <c r="O49" s="126"/>
    </row>
    <row r="50" spans="1:15" s="48" customFormat="1" ht="12.75">
      <c r="A50" s="46" t="s">
        <v>75</v>
      </c>
      <c r="B50" s="47">
        <v>159</v>
      </c>
      <c r="C50" s="47">
        <f aca="true" t="shared" si="5" ref="C50:I50">C48+C49</f>
        <v>44206460</v>
      </c>
      <c r="D50" s="47">
        <f>D48+D49</f>
        <v>0</v>
      </c>
      <c r="E50" s="47">
        <f t="shared" si="5"/>
        <v>4581024</v>
      </c>
      <c r="F50" s="47">
        <f t="shared" si="5"/>
        <v>1273538</v>
      </c>
      <c r="G50" s="47">
        <v>943741</v>
      </c>
      <c r="H50" s="47">
        <f t="shared" si="5"/>
        <v>0</v>
      </c>
      <c r="I50" s="47">
        <f t="shared" si="5"/>
        <v>0</v>
      </c>
      <c r="J50" s="44">
        <f t="shared" si="0"/>
        <v>51004763</v>
      </c>
      <c r="K50" s="126"/>
      <c r="L50" s="126"/>
      <c r="M50" s="126"/>
      <c r="N50" s="126"/>
      <c r="O50" s="126"/>
    </row>
    <row r="51" spans="1:14" s="48" customFormat="1" ht="12.75">
      <c r="A51" s="113"/>
      <c r="B51" s="114"/>
      <c r="C51" s="114"/>
      <c r="D51" s="114"/>
      <c r="E51" s="114"/>
      <c r="F51" s="114"/>
      <c r="G51" s="114"/>
      <c r="H51" s="114"/>
      <c r="I51" s="114"/>
      <c r="J51" s="115"/>
      <c r="K51" s="52"/>
      <c r="L51" s="52"/>
      <c r="M51" s="52"/>
      <c r="N51" s="52"/>
    </row>
    <row r="52" spans="1:14" s="48" customFormat="1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39"/>
      <c r="N52" s="135"/>
    </row>
    <row r="53" spans="1:14" s="48" customFormat="1" ht="12.75">
      <c r="A53" s="178" t="s">
        <v>3</v>
      </c>
      <c r="B53" s="136" t="s">
        <v>49</v>
      </c>
      <c r="C53" s="137" t="s">
        <v>188</v>
      </c>
      <c r="D53" s="137" t="s">
        <v>189</v>
      </c>
      <c r="E53" s="137" t="s">
        <v>106</v>
      </c>
      <c r="F53" s="137" t="s">
        <v>190</v>
      </c>
      <c r="G53" s="137" t="s">
        <v>191</v>
      </c>
      <c r="H53" s="137" t="s">
        <v>192</v>
      </c>
      <c r="I53" s="137" t="s">
        <v>192</v>
      </c>
      <c r="J53" s="137" t="s">
        <v>192</v>
      </c>
      <c r="K53" s="191" t="s">
        <v>160</v>
      </c>
      <c r="L53" s="192"/>
      <c r="M53" s="127"/>
      <c r="N53" s="128"/>
    </row>
    <row r="54" spans="1:14" s="48" customFormat="1" ht="12.75">
      <c r="A54" s="179"/>
      <c r="B54" s="54" t="s">
        <v>50</v>
      </c>
      <c r="C54" s="55" t="s">
        <v>105</v>
      </c>
      <c r="D54" s="55" t="s">
        <v>105</v>
      </c>
      <c r="E54" s="55" t="s">
        <v>105</v>
      </c>
      <c r="F54" s="55" t="s">
        <v>109</v>
      </c>
      <c r="G54" s="55" t="s">
        <v>109</v>
      </c>
      <c r="H54" s="55" t="s">
        <v>193</v>
      </c>
      <c r="I54" s="55" t="s">
        <v>194</v>
      </c>
      <c r="J54" s="117" t="s">
        <v>114</v>
      </c>
      <c r="K54" s="54" t="s">
        <v>162</v>
      </c>
      <c r="L54" s="129" t="s">
        <v>161</v>
      </c>
      <c r="M54" s="127"/>
      <c r="N54" s="128"/>
    </row>
    <row r="55" spans="1:16" ht="12.75">
      <c r="A55" s="60" t="s">
        <v>62</v>
      </c>
      <c r="B55" s="61">
        <v>119</v>
      </c>
      <c r="C55" s="61">
        <v>140926</v>
      </c>
      <c r="D55" s="61"/>
      <c r="E55" s="61">
        <v>14579</v>
      </c>
      <c r="F55" s="61">
        <v>3055</v>
      </c>
      <c r="G55" s="61"/>
      <c r="H55" s="61"/>
      <c r="I55" s="61"/>
      <c r="J55" s="130">
        <f>SUM(C55:I55)</f>
        <v>158560</v>
      </c>
      <c r="K55" s="61"/>
      <c r="L55" s="61"/>
      <c r="M55" s="114"/>
      <c r="N55" s="114"/>
      <c r="O55" s="134"/>
      <c r="P55" s="45"/>
    </row>
    <row r="56" spans="1:16" ht="12.75">
      <c r="A56" s="60" t="s">
        <v>63</v>
      </c>
      <c r="B56" s="61">
        <v>120</v>
      </c>
      <c r="C56" s="61">
        <v>276198</v>
      </c>
      <c r="D56" s="61"/>
      <c r="E56" s="61">
        <v>28573</v>
      </c>
      <c r="F56" s="61">
        <v>12405</v>
      </c>
      <c r="G56" s="61"/>
      <c r="H56" s="61"/>
      <c r="I56" s="61"/>
      <c r="J56" s="130">
        <f>SUM(C56:I56)</f>
        <v>317176</v>
      </c>
      <c r="K56" s="61"/>
      <c r="L56" s="61"/>
      <c r="M56" s="114"/>
      <c r="N56" s="114"/>
      <c r="O56" s="134"/>
      <c r="P56" s="45"/>
    </row>
    <row r="57" spans="1:16" ht="12.75">
      <c r="A57" s="60" t="s">
        <v>33</v>
      </c>
      <c r="B57" s="61">
        <v>84</v>
      </c>
      <c r="C57" s="61">
        <v>48122</v>
      </c>
      <c r="D57" s="61"/>
      <c r="E57" s="61">
        <v>4979</v>
      </c>
      <c r="F57" s="61">
        <v>2535</v>
      </c>
      <c r="G57" s="61"/>
      <c r="H57" s="61"/>
      <c r="I57" s="61"/>
      <c r="J57" s="130">
        <f>SUM(C57:I57)</f>
        <v>55636</v>
      </c>
      <c r="K57" s="61"/>
      <c r="L57" s="61"/>
      <c r="M57" s="114"/>
      <c r="N57" s="114"/>
      <c r="O57" s="134"/>
      <c r="P57" s="45"/>
    </row>
    <row r="58" spans="1:16" ht="12.75">
      <c r="A58" s="60" t="s">
        <v>40</v>
      </c>
      <c r="B58" s="61">
        <v>89</v>
      </c>
      <c r="C58" s="61">
        <v>101898</v>
      </c>
      <c r="D58" s="61"/>
      <c r="E58" s="61">
        <v>10541</v>
      </c>
      <c r="F58" s="61">
        <v>1950</v>
      </c>
      <c r="G58" s="61"/>
      <c r="H58" s="61"/>
      <c r="I58" s="61"/>
      <c r="J58" s="130">
        <f>SUM(C58:I58)</f>
        <v>114389</v>
      </c>
      <c r="K58" s="61"/>
      <c r="L58" s="61"/>
      <c r="M58" s="114"/>
      <c r="N58" s="114"/>
      <c r="O58" s="134"/>
      <c r="P58" s="45"/>
    </row>
    <row r="60" spans="1:6" ht="12.75">
      <c r="A60" s="63" t="s">
        <v>21</v>
      </c>
      <c r="B60" s="175" t="s">
        <v>209</v>
      </c>
      <c r="C60" s="175"/>
      <c r="D60" s="175"/>
      <c r="E60" s="175"/>
      <c r="F60" s="64"/>
    </row>
    <row r="61" spans="8:9" ht="12.75">
      <c r="H61" s="174" t="s">
        <v>211</v>
      </c>
      <c r="I61" s="174"/>
    </row>
    <row r="62" spans="8:9" ht="12.75">
      <c r="H62" s="173" t="s">
        <v>48</v>
      </c>
      <c r="I62" s="173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69" t="s">
        <v>210</v>
      </c>
      <c r="L2" s="170"/>
    </row>
    <row r="3" spans="1:12" ht="12.75">
      <c r="A3" s="3"/>
      <c r="H3" s="4"/>
      <c r="I3" s="4"/>
      <c r="J3" s="5" t="s">
        <v>77</v>
      </c>
      <c r="K3" s="169" t="s">
        <v>208</v>
      </c>
      <c r="L3" s="170"/>
    </row>
    <row r="4" ht="18" customHeight="1">
      <c r="A4" s="6"/>
    </row>
    <row r="5" spans="1:13" ht="18">
      <c r="A5" s="172" t="s">
        <v>82</v>
      </c>
      <c r="B5" s="172"/>
      <c r="C5" s="172"/>
      <c r="D5" s="172"/>
      <c r="E5" s="7" t="s">
        <v>83</v>
      </c>
      <c r="F5" s="171" t="s">
        <v>89</v>
      </c>
      <c r="G5" s="171"/>
      <c r="H5" s="171"/>
      <c r="I5" s="171"/>
      <c r="J5" s="171"/>
      <c r="K5" s="171"/>
      <c r="L5" s="171"/>
      <c r="M5" s="17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5" t="s">
        <v>121</v>
      </c>
      <c r="N7" s="196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9" t="s">
        <v>122</v>
      </c>
      <c r="N9" s="190"/>
    </row>
    <row r="10" spans="1:14" ht="13.5" thickBot="1">
      <c r="A10" s="25"/>
      <c r="B10" s="26"/>
      <c r="C10" s="176" t="s">
        <v>101</v>
      </c>
      <c r="D10" s="177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32"/>
      <c r="N10" s="33"/>
    </row>
    <row r="11" spans="1:14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9"/>
    </row>
    <row r="12" spans="1:14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3"/>
      <c r="K12" s="44">
        <f>SUM(C12:J12)</f>
        <v>0</v>
      </c>
      <c r="L12" s="43"/>
      <c r="M12" s="43"/>
      <c r="N12" s="43"/>
    </row>
    <row r="13" spans="1:14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3"/>
      <c r="K13" s="44">
        <f aca="true" t="shared" si="0" ref="K13:K50">SUM(C13:J13)</f>
        <v>0</v>
      </c>
      <c r="L13" s="43"/>
      <c r="M13" s="43"/>
      <c r="N13" s="43"/>
    </row>
    <row r="14" spans="1:14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3"/>
      <c r="K14" s="44">
        <f t="shared" si="0"/>
        <v>0</v>
      </c>
      <c r="L14" s="43"/>
      <c r="M14" s="43"/>
      <c r="N14" s="43"/>
    </row>
    <row r="15" spans="1:14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3"/>
      <c r="K15" s="44">
        <f t="shared" si="0"/>
        <v>0</v>
      </c>
      <c r="L15" s="43"/>
      <c r="M15" s="43"/>
      <c r="N15" s="43"/>
    </row>
    <row r="16" spans="1:14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3"/>
      <c r="K16" s="44">
        <f t="shared" si="0"/>
        <v>0</v>
      </c>
      <c r="L16" s="43"/>
      <c r="M16" s="43"/>
      <c r="N16" s="43"/>
    </row>
    <row r="17" spans="1:14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3"/>
      <c r="K17" s="44">
        <f t="shared" si="0"/>
        <v>0</v>
      </c>
      <c r="L17" s="43"/>
      <c r="M17" s="43"/>
      <c r="N17" s="43"/>
    </row>
    <row r="18" spans="1:14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3"/>
      <c r="K18" s="44">
        <f t="shared" si="0"/>
        <v>0</v>
      </c>
      <c r="L18" s="43"/>
      <c r="M18" s="43"/>
      <c r="N18" s="43"/>
    </row>
    <row r="19" spans="1:14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3"/>
      <c r="K19" s="44">
        <f t="shared" si="0"/>
        <v>0</v>
      </c>
      <c r="L19" s="43"/>
      <c r="M19" s="43"/>
      <c r="N19" s="43"/>
    </row>
    <row r="20" spans="1:14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3"/>
      <c r="K20" s="44">
        <f t="shared" si="0"/>
        <v>0</v>
      </c>
      <c r="L20" s="43"/>
      <c r="M20" s="43"/>
      <c r="N20" s="43"/>
    </row>
    <row r="21" spans="1:14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3"/>
      <c r="K21" s="44">
        <f t="shared" si="0"/>
        <v>0</v>
      </c>
      <c r="L21" s="43"/>
      <c r="M21" s="43"/>
      <c r="N21" s="43"/>
    </row>
    <row r="22" spans="1:21" s="45" customFormat="1" ht="12.75" customHeight="1">
      <c r="A22" s="41" t="s">
        <v>38</v>
      </c>
      <c r="B22" s="42">
        <v>81</v>
      </c>
      <c r="C22" s="163">
        <v>306356</v>
      </c>
      <c r="D22" s="43"/>
      <c r="E22" s="43"/>
      <c r="F22" s="163"/>
      <c r="G22" s="163"/>
      <c r="H22" s="43"/>
      <c r="I22" s="43"/>
      <c r="J22" s="163">
        <v>24342</v>
      </c>
      <c r="K22" s="44">
        <f t="shared" si="0"/>
        <v>330698</v>
      </c>
      <c r="L22" s="163"/>
      <c r="M22" s="43">
        <v>4</v>
      </c>
      <c r="N22" s="43">
        <v>4</v>
      </c>
      <c r="O22" s="2"/>
      <c r="P22" s="2"/>
      <c r="Q22" s="2"/>
      <c r="R22" s="2"/>
      <c r="S22" s="2"/>
      <c r="T22" s="2"/>
      <c r="U22" s="2"/>
    </row>
    <row r="23" spans="1:14" ht="12.75">
      <c r="A23" s="41" t="s">
        <v>39</v>
      </c>
      <c r="B23" s="42">
        <v>82</v>
      </c>
      <c r="C23" s="163">
        <v>115420</v>
      </c>
      <c r="D23" s="43"/>
      <c r="E23" s="43"/>
      <c r="F23" s="163"/>
      <c r="G23" s="163"/>
      <c r="H23" s="43"/>
      <c r="I23" s="43"/>
      <c r="J23" s="163"/>
      <c r="K23" s="44">
        <f t="shared" si="0"/>
        <v>115420</v>
      </c>
      <c r="L23" s="163"/>
      <c r="M23" s="43">
        <v>1</v>
      </c>
      <c r="N23" s="43">
        <v>1</v>
      </c>
    </row>
    <row r="24" spans="1:14" ht="12.75">
      <c r="A24" s="41" t="s">
        <v>32</v>
      </c>
      <c r="B24" s="42">
        <v>83</v>
      </c>
      <c r="C24" s="163">
        <v>576154</v>
      </c>
      <c r="D24" s="43"/>
      <c r="E24" s="43"/>
      <c r="F24" s="163"/>
      <c r="G24" s="163">
        <v>34799</v>
      </c>
      <c r="H24" s="43"/>
      <c r="I24" s="43"/>
      <c r="J24" s="163">
        <v>52271</v>
      </c>
      <c r="K24" s="44">
        <f t="shared" si="0"/>
        <v>663224</v>
      </c>
      <c r="L24" s="163"/>
      <c r="M24" s="43">
        <v>5</v>
      </c>
      <c r="N24" s="43">
        <v>5</v>
      </c>
    </row>
    <row r="25" spans="1:14" ht="12.75">
      <c r="A25" s="41" t="s">
        <v>33</v>
      </c>
      <c r="B25" s="42">
        <v>84</v>
      </c>
      <c r="C25" s="163">
        <v>4353827</v>
      </c>
      <c r="D25" s="43"/>
      <c r="E25" s="43"/>
      <c r="F25" s="163"/>
      <c r="G25" s="163">
        <v>201986</v>
      </c>
      <c r="H25" s="43"/>
      <c r="I25" s="43"/>
      <c r="J25" s="163">
        <v>370801</v>
      </c>
      <c r="K25" s="44">
        <f t="shared" si="0"/>
        <v>4926614</v>
      </c>
      <c r="L25" s="163">
        <v>228458</v>
      </c>
      <c r="M25" s="43">
        <v>40</v>
      </c>
      <c r="N25" s="43">
        <v>30</v>
      </c>
    </row>
    <row r="26" spans="1:14" ht="12.75">
      <c r="A26" s="41" t="s">
        <v>34</v>
      </c>
      <c r="B26" s="42">
        <v>85</v>
      </c>
      <c r="C26" s="163">
        <v>451603</v>
      </c>
      <c r="D26" s="43"/>
      <c r="E26" s="43"/>
      <c r="F26" s="163">
        <v>10000</v>
      </c>
      <c r="G26" s="163">
        <v>130054</v>
      </c>
      <c r="H26" s="43"/>
      <c r="I26" s="43"/>
      <c r="J26" s="163">
        <v>43227</v>
      </c>
      <c r="K26" s="44">
        <f t="shared" si="0"/>
        <v>634884</v>
      </c>
      <c r="L26" s="163">
        <v>46634</v>
      </c>
      <c r="M26" s="43">
        <v>3</v>
      </c>
      <c r="N26" s="43">
        <v>1</v>
      </c>
    </row>
    <row r="27" spans="1:14" ht="12.75">
      <c r="A27" s="41" t="s">
        <v>35</v>
      </c>
      <c r="B27" s="42">
        <v>86</v>
      </c>
      <c r="C27" s="163">
        <v>1218920</v>
      </c>
      <c r="D27" s="43"/>
      <c r="E27" s="43"/>
      <c r="F27" s="163"/>
      <c r="G27" s="163"/>
      <c r="H27" s="43"/>
      <c r="I27" s="43"/>
      <c r="J27" s="163">
        <v>118325</v>
      </c>
      <c r="K27" s="44">
        <f t="shared" si="0"/>
        <v>1337245</v>
      </c>
      <c r="L27" s="163"/>
      <c r="M27" s="43">
        <v>6</v>
      </c>
      <c r="N27" s="43">
        <v>4</v>
      </c>
    </row>
    <row r="28" spans="1:14" ht="12.75">
      <c r="A28" s="41" t="s">
        <v>36</v>
      </c>
      <c r="B28" s="42">
        <v>87</v>
      </c>
      <c r="C28" s="163">
        <v>293717</v>
      </c>
      <c r="D28" s="43"/>
      <c r="E28" s="43"/>
      <c r="F28" s="163">
        <v>30000</v>
      </c>
      <c r="G28" s="163">
        <v>39200</v>
      </c>
      <c r="H28" s="43"/>
      <c r="I28" s="43"/>
      <c r="J28" s="163">
        <v>43042</v>
      </c>
      <c r="K28" s="44">
        <f t="shared" si="0"/>
        <v>405959</v>
      </c>
      <c r="L28" s="163"/>
      <c r="M28" s="43">
        <v>1</v>
      </c>
      <c r="N28" s="43">
        <v>1</v>
      </c>
    </row>
    <row r="29" spans="1:14" ht="12.75">
      <c r="A29" s="41" t="s">
        <v>37</v>
      </c>
      <c r="B29" s="42">
        <v>88</v>
      </c>
      <c r="C29" s="163">
        <v>557400</v>
      </c>
      <c r="D29" s="43"/>
      <c r="E29" s="43"/>
      <c r="F29" s="163"/>
      <c r="G29" s="163">
        <v>39200</v>
      </c>
      <c r="H29" s="43"/>
      <c r="I29" s="43"/>
      <c r="J29" s="163">
        <v>46450</v>
      </c>
      <c r="K29" s="44">
        <f t="shared" si="0"/>
        <v>643050</v>
      </c>
      <c r="L29" s="163"/>
      <c r="M29" s="43">
        <v>2</v>
      </c>
      <c r="N29" s="43">
        <v>3</v>
      </c>
    </row>
    <row r="30" spans="1:14" ht="12.75">
      <c r="A30" s="41" t="s">
        <v>40</v>
      </c>
      <c r="B30" s="42">
        <v>89</v>
      </c>
      <c r="C30" s="163">
        <v>1232600</v>
      </c>
      <c r="D30" s="43"/>
      <c r="E30" s="43"/>
      <c r="F30" s="163"/>
      <c r="G30" s="163"/>
      <c r="H30" s="43"/>
      <c r="I30" s="43"/>
      <c r="J30" s="163">
        <v>102717</v>
      </c>
      <c r="K30" s="44">
        <f t="shared" si="0"/>
        <v>1335317</v>
      </c>
      <c r="L30" s="163">
        <v>202770</v>
      </c>
      <c r="M30" s="43">
        <v>4</v>
      </c>
      <c r="N30" s="43">
        <v>0</v>
      </c>
    </row>
    <row r="31" spans="1:14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3"/>
      <c r="K31" s="44">
        <f t="shared" si="0"/>
        <v>0</v>
      </c>
      <c r="L31" s="43"/>
      <c r="M31" s="43"/>
      <c r="N31" s="43">
        <v>0</v>
      </c>
    </row>
    <row r="32" spans="1:14" s="48" customFormat="1" ht="12.75">
      <c r="A32" s="46" t="s">
        <v>73</v>
      </c>
      <c r="B32" s="42">
        <v>92</v>
      </c>
      <c r="C32" s="47">
        <f>SUM(C12:C31)</f>
        <v>9105997</v>
      </c>
      <c r="D32" s="47">
        <f aca="true" t="shared" si="1" ref="D32:J32">SUM(D12:D31)</f>
        <v>0</v>
      </c>
      <c r="E32" s="47">
        <f t="shared" si="1"/>
        <v>0</v>
      </c>
      <c r="F32" s="47">
        <f t="shared" si="1"/>
        <v>40000</v>
      </c>
      <c r="G32" s="47">
        <f t="shared" si="1"/>
        <v>445239</v>
      </c>
      <c r="H32" s="47">
        <f t="shared" si="1"/>
        <v>0</v>
      </c>
      <c r="I32" s="47">
        <f t="shared" si="1"/>
        <v>0</v>
      </c>
      <c r="J32" s="47">
        <f t="shared" si="1"/>
        <v>801175</v>
      </c>
      <c r="K32" s="44">
        <f t="shared" si="0"/>
        <v>10392411</v>
      </c>
      <c r="L32" s="47">
        <f>SUM(L12:L31)</f>
        <v>477862</v>
      </c>
      <c r="M32" s="47">
        <f>SUM(M12:M31)</f>
        <v>66</v>
      </c>
      <c r="N32" s="47">
        <f>SUM(N12:N31)</f>
        <v>49</v>
      </c>
    </row>
    <row r="33" spans="1:14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3"/>
      <c r="K33" s="44">
        <f t="shared" si="0"/>
        <v>0</v>
      </c>
      <c r="L33" s="43"/>
      <c r="M33" s="43"/>
      <c r="N33" s="43"/>
    </row>
    <row r="34" spans="1:14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3"/>
      <c r="K34" s="44">
        <f t="shared" si="0"/>
        <v>0</v>
      </c>
      <c r="L34" s="43"/>
      <c r="M34" s="43"/>
      <c r="N34" s="43"/>
    </row>
    <row r="35" spans="1:14" s="48" customFormat="1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3"/>
      <c r="K35" s="44">
        <f t="shared" si="0"/>
        <v>0</v>
      </c>
      <c r="L35" s="43"/>
      <c r="M35" s="43"/>
      <c r="N35" s="43"/>
    </row>
    <row r="36" spans="1:14" s="48" customFormat="1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3"/>
      <c r="K36" s="44">
        <f t="shared" si="0"/>
        <v>0</v>
      </c>
      <c r="L36" s="43"/>
      <c r="M36" s="43"/>
      <c r="N36" s="43"/>
    </row>
    <row r="37" spans="1:14" s="48" customFormat="1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3"/>
      <c r="K37" s="44">
        <f t="shared" si="0"/>
        <v>0</v>
      </c>
      <c r="L37" s="43"/>
      <c r="M37" s="43"/>
      <c r="N37" s="43"/>
    </row>
    <row r="38" spans="1:14" s="112" customFormat="1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3"/>
      <c r="K38" s="44">
        <f t="shared" si="0"/>
        <v>0</v>
      </c>
      <c r="L38" s="43"/>
      <c r="M38" s="43"/>
      <c r="N38" s="43"/>
    </row>
    <row r="39" spans="1:14" ht="12.75">
      <c r="A39" s="46" t="s">
        <v>72</v>
      </c>
      <c r="B39" s="42">
        <v>110</v>
      </c>
      <c r="C39" s="47">
        <f>SUM(C33:C38)</f>
        <v>0</v>
      </c>
      <c r="D39" s="47">
        <f aca="true" t="shared" si="2" ref="D39:J39"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44">
        <f t="shared" si="0"/>
        <v>0</v>
      </c>
      <c r="L39" s="47">
        <f>SUM(L33:L38)</f>
        <v>0</v>
      </c>
      <c r="M39" s="47">
        <f>SUM(M33:M38)</f>
        <v>0</v>
      </c>
      <c r="N39" s="47">
        <f>SUM(N33:N38)</f>
        <v>0</v>
      </c>
    </row>
    <row r="40" spans="1:14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3"/>
      <c r="K40" s="44">
        <f t="shared" si="0"/>
        <v>0</v>
      </c>
      <c r="L40" s="43"/>
      <c r="M40" s="43"/>
      <c r="N40" s="43"/>
    </row>
    <row r="41" spans="1:14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3"/>
      <c r="K41" s="44">
        <f t="shared" si="0"/>
        <v>0</v>
      </c>
      <c r="L41" s="43"/>
      <c r="M41" s="43"/>
      <c r="N41" s="43"/>
    </row>
    <row r="42" spans="1:14" ht="12.75">
      <c r="A42" s="50" t="s">
        <v>59</v>
      </c>
      <c r="B42" s="42">
        <v>113</v>
      </c>
      <c r="C42" s="163">
        <v>309200</v>
      </c>
      <c r="D42" s="163">
        <v>36718</v>
      </c>
      <c r="E42" s="163">
        <v>92760</v>
      </c>
      <c r="F42" s="163">
        <v>19325</v>
      </c>
      <c r="G42" s="163">
        <v>119815</v>
      </c>
      <c r="H42" s="43"/>
      <c r="I42" s="43"/>
      <c r="J42" s="163">
        <v>47829</v>
      </c>
      <c r="K42" s="44">
        <f t="shared" si="0"/>
        <v>625647</v>
      </c>
      <c r="L42" s="163"/>
      <c r="M42" s="43">
        <v>1</v>
      </c>
      <c r="N42" s="43">
        <v>1</v>
      </c>
    </row>
    <row r="43" spans="1:14" ht="12.75">
      <c r="A43" s="50" t="s">
        <v>60</v>
      </c>
      <c r="B43" s="42">
        <v>114</v>
      </c>
      <c r="C43" s="163">
        <v>1159500</v>
      </c>
      <c r="D43" s="163">
        <v>111314</v>
      </c>
      <c r="E43" s="163">
        <v>347852</v>
      </c>
      <c r="F43" s="163">
        <v>52178</v>
      </c>
      <c r="G43" s="163">
        <v>248519</v>
      </c>
      <c r="H43" s="43"/>
      <c r="I43" s="43"/>
      <c r="J43" s="163">
        <v>159947</v>
      </c>
      <c r="K43" s="44">
        <f t="shared" si="0"/>
        <v>2079310</v>
      </c>
      <c r="L43" s="163"/>
      <c r="M43" s="43">
        <v>4</v>
      </c>
      <c r="N43" s="43">
        <v>4</v>
      </c>
    </row>
    <row r="44" spans="1:14" ht="12.75">
      <c r="A44" s="50" t="s">
        <v>61</v>
      </c>
      <c r="B44" s="42">
        <v>115</v>
      </c>
      <c r="C44" s="163">
        <v>4869900</v>
      </c>
      <c r="D44" s="163">
        <v>481974</v>
      </c>
      <c r="E44" s="163">
        <v>1420388</v>
      </c>
      <c r="F44" s="163">
        <v>222238</v>
      </c>
      <c r="G44" s="163">
        <v>519070</v>
      </c>
      <c r="H44" s="43"/>
      <c r="I44" s="43"/>
      <c r="J44" s="163">
        <v>626131</v>
      </c>
      <c r="K44" s="44">
        <f t="shared" si="0"/>
        <v>8139701</v>
      </c>
      <c r="L44" s="163">
        <v>135460</v>
      </c>
      <c r="M44" s="43">
        <v>16</v>
      </c>
      <c r="N44" s="43">
        <v>16</v>
      </c>
    </row>
    <row r="45" spans="1:14" ht="12.75">
      <c r="A45" s="50" t="s">
        <v>62</v>
      </c>
      <c r="B45" s="42">
        <v>119</v>
      </c>
      <c r="C45" s="163">
        <v>14831389</v>
      </c>
      <c r="D45" s="163">
        <v>1677140</v>
      </c>
      <c r="E45" s="163">
        <v>4172024</v>
      </c>
      <c r="F45" s="163">
        <v>1355833</v>
      </c>
      <c r="G45" s="163">
        <v>422544</v>
      </c>
      <c r="H45" s="43"/>
      <c r="I45" s="43"/>
      <c r="J45" s="163">
        <v>1819304</v>
      </c>
      <c r="K45" s="44">
        <f t="shared" si="0"/>
        <v>24278234</v>
      </c>
      <c r="L45" s="163">
        <v>726130</v>
      </c>
      <c r="M45" s="43">
        <v>79</v>
      </c>
      <c r="N45" s="43">
        <v>89</v>
      </c>
    </row>
    <row r="46" spans="1:14" ht="12.75">
      <c r="A46" s="50" t="s">
        <v>63</v>
      </c>
      <c r="B46" s="42">
        <v>120</v>
      </c>
      <c r="C46" s="163">
        <v>55929818</v>
      </c>
      <c r="D46" s="163">
        <v>8156143</v>
      </c>
      <c r="E46" s="163">
        <v>8623069</v>
      </c>
      <c r="F46" s="163">
        <v>551774</v>
      </c>
      <c r="G46" s="163">
        <v>13882524</v>
      </c>
      <c r="H46" s="43"/>
      <c r="I46" s="43"/>
      <c r="J46" s="163">
        <v>6409040</v>
      </c>
      <c r="K46" s="44">
        <f t="shared" si="0"/>
        <v>93552368</v>
      </c>
      <c r="L46" s="163">
        <v>7392735</v>
      </c>
      <c r="M46" s="43">
        <v>525</v>
      </c>
      <c r="N46" s="43">
        <v>631</v>
      </c>
    </row>
    <row r="47" spans="1:14" ht="12.75">
      <c r="A47" s="46" t="s">
        <v>74</v>
      </c>
      <c r="B47" s="47">
        <v>121</v>
      </c>
      <c r="C47" s="47">
        <f>SUM(C40:C46)</f>
        <v>77099807</v>
      </c>
      <c r="D47" s="47">
        <f aca="true" t="shared" si="3" ref="D47:J47">SUM(D40:D46)</f>
        <v>10463289</v>
      </c>
      <c r="E47" s="47">
        <f t="shared" si="3"/>
        <v>14656093</v>
      </c>
      <c r="F47" s="47">
        <f t="shared" si="3"/>
        <v>2201348</v>
      </c>
      <c r="G47" s="47">
        <f t="shared" si="3"/>
        <v>15192472</v>
      </c>
      <c r="H47" s="47">
        <f t="shared" si="3"/>
        <v>0</v>
      </c>
      <c r="I47" s="47">
        <f t="shared" si="3"/>
        <v>0</v>
      </c>
      <c r="J47" s="47">
        <f t="shared" si="3"/>
        <v>9062251</v>
      </c>
      <c r="K47" s="44">
        <f t="shared" si="0"/>
        <v>128675260</v>
      </c>
      <c r="L47" s="47">
        <f>SUM(L40:L46)</f>
        <v>8254325</v>
      </c>
      <c r="M47" s="47">
        <f>SUM(M40:M46)</f>
        <v>625</v>
      </c>
      <c r="N47" s="47">
        <f>SUM(N40:N46)</f>
        <v>741</v>
      </c>
    </row>
    <row r="48" spans="1:14" ht="12.75">
      <c r="A48" s="46" t="s">
        <v>119</v>
      </c>
      <c r="B48" s="47">
        <v>152</v>
      </c>
      <c r="C48" s="47">
        <f>C32+C39+C47</f>
        <v>86205804</v>
      </c>
      <c r="D48" s="47">
        <f aca="true" t="shared" si="4" ref="D48:J48">D32+D39+D47</f>
        <v>10463289</v>
      </c>
      <c r="E48" s="47">
        <f t="shared" si="4"/>
        <v>14656093</v>
      </c>
      <c r="F48" s="47">
        <f t="shared" si="4"/>
        <v>2241348</v>
      </c>
      <c r="G48" s="47">
        <f t="shared" si="4"/>
        <v>15637711</v>
      </c>
      <c r="H48" s="47">
        <f t="shared" si="4"/>
        <v>0</v>
      </c>
      <c r="I48" s="47">
        <f t="shared" si="4"/>
        <v>0</v>
      </c>
      <c r="J48" s="47">
        <f t="shared" si="4"/>
        <v>9863426</v>
      </c>
      <c r="K48" s="44">
        <f t="shared" si="0"/>
        <v>139067671</v>
      </c>
      <c r="L48" s="47">
        <f>L32+L39+L47</f>
        <v>8732187</v>
      </c>
      <c r="M48" s="47">
        <f>M32+M39+M47</f>
        <v>691</v>
      </c>
      <c r="N48" s="47">
        <f>N32+N39+N47</f>
        <v>790</v>
      </c>
    </row>
    <row r="49" spans="1:14" ht="12.75">
      <c r="A49" s="46" t="s">
        <v>51</v>
      </c>
      <c r="B49" s="47">
        <v>158</v>
      </c>
      <c r="C49" s="163">
        <v>433900</v>
      </c>
      <c r="D49" s="51"/>
      <c r="E49" s="51"/>
      <c r="F49" s="51"/>
      <c r="G49" s="163">
        <v>19600</v>
      </c>
      <c r="H49" s="51"/>
      <c r="I49" s="51"/>
      <c r="J49" s="163">
        <v>36159</v>
      </c>
      <c r="K49" s="44">
        <f t="shared" si="0"/>
        <v>489659</v>
      </c>
      <c r="L49" s="51"/>
      <c r="M49" s="51">
        <v>2</v>
      </c>
      <c r="N49" s="51">
        <v>3</v>
      </c>
    </row>
    <row r="50" spans="1:14" ht="12.75">
      <c r="A50" s="46" t="s">
        <v>75</v>
      </c>
      <c r="B50" s="47">
        <v>159</v>
      </c>
      <c r="C50" s="47">
        <f>C48+C49</f>
        <v>86639704</v>
      </c>
      <c r="D50" s="47">
        <f aca="true" t="shared" si="5" ref="D50:J50">D48+D49</f>
        <v>10463289</v>
      </c>
      <c r="E50" s="47">
        <f t="shared" si="5"/>
        <v>14656093</v>
      </c>
      <c r="F50" s="47">
        <f t="shared" si="5"/>
        <v>2241348</v>
      </c>
      <c r="G50" s="47">
        <f t="shared" si="5"/>
        <v>15657311</v>
      </c>
      <c r="H50" s="47">
        <f t="shared" si="5"/>
        <v>0</v>
      </c>
      <c r="I50" s="47">
        <f t="shared" si="5"/>
        <v>0</v>
      </c>
      <c r="J50" s="47">
        <f t="shared" si="5"/>
        <v>9899585</v>
      </c>
      <c r="K50" s="44">
        <f t="shared" si="0"/>
        <v>139557330</v>
      </c>
      <c r="L50" s="47">
        <f>L48+L49</f>
        <v>8732187</v>
      </c>
      <c r="M50" s="47">
        <f>M48+M49</f>
        <v>693</v>
      </c>
      <c r="N50" s="47">
        <f>N48+N49</f>
        <v>793</v>
      </c>
    </row>
    <row r="51" spans="1:14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5"/>
      <c r="L51" s="114"/>
      <c r="M51" s="114"/>
      <c r="N51" s="116"/>
    </row>
    <row r="52" spans="1:14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7"/>
      <c r="N52" s="116"/>
    </row>
    <row r="53" spans="1:14" ht="12.75">
      <c r="A53" s="178" t="s">
        <v>3</v>
      </c>
      <c r="B53" s="136" t="s">
        <v>49</v>
      </c>
      <c r="C53" s="137" t="s">
        <v>4</v>
      </c>
      <c r="D53" s="137" t="s">
        <v>5</v>
      </c>
      <c r="E53" s="137" t="s">
        <v>6</v>
      </c>
      <c r="F53" s="137" t="s">
        <v>80</v>
      </c>
      <c r="G53" s="137" t="s">
        <v>81</v>
      </c>
      <c r="H53" s="137" t="s">
        <v>7</v>
      </c>
      <c r="I53" s="137" t="s">
        <v>42</v>
      </c>
      <c r="J53" s="137" t="s">
        <v>78</v>
      </c>
      <c r="K53" s="138" t="s">
        <v>155</v>
      </c>
      <c r="L53" s="137" t="s">
        <v>157</v>
      </c>
      <c r="M53" s="137" t="s">
        <v>159</v>
      </c>
      <c r="N53" s="116"/>
    </row>
    <row r="54" spans="1:14" ht="12.75">
      <c r="A54" s="179"/>
      <c r="B54" s="54" t="s">
        <v>50</v>
      </c>
      <c r="C54" s="55" t="s">
        <v>9</v>
      </c>
      <c r="D54" s="55" t="s">
        <v>10</v>
      </c>
      <c r="E54" s="55" t="s">
        <v>11</v>
      </c>
      <c r="F54" s="55" t="s">
        <v>10</v>
      </c>
      <c r="G54" s="55" t="s">
        <v>12</v>
      </c>
      <c r="H54" s="55" t="s">
        <v>13</v>
      </c>
      <c r="I54" s="55" t="s">
        <v>43</v>
      </c>
      <c r="J54" s="55" t="s">
        <v>79</v>
      </c>
      <c r="K54" s="117" t="s">
        <v>156</v>
      </c>
      <c r="L54" s="55" t="s">
        <v>158</v>
      </c>
      <c r="M54" s="55" t="s">
        <v>54</v>
      </c>
      <c r="N54" s="116"/>
    </row>
    <row r="55" spans="1:15" ht="12.75">
      <c r="A55" s="56" t="s">
        <v>62</v>
      </c>
      <c r="B55" s="57">
        <f>IF(A55="","",VLOOKUP(A55,$A$12:$B$50,2,FALSE))</f>
        <v>119</v>
      </c>
      <c r="C55" s="57">
        <v>188648</v>
      </c>
      <c r="D55" s="57">
        <v>22454</v>
      </c>
      <c r="E55" s="57">
        <v>56595</v>
      </c>
      <c r="F55" s="57">
        <v>11043</v>
      </c>
      <c r="G55" s="57">
        <v>0</v>
      </c>
      <c r="H55" s="57"/>
      <c r="I55" s="57"/>
      <c r="J55" s="57">
        <v>20533</v>
      </c>
      <c r="K55" s="118">
        <f>SUM(C55:J55)</f>
        <v>299273</v>
      </c>
      <c r="L55" s="57">
        <v>0</v>
      </c>
      <c r="M55" s="58">
        <v>2</v>
      </c>
      <c r="N55" s="119"/>
      <c r="O55" s="45"/>
    </row>
    <row r="56" spans="1:15" ht="12.75">
      <c r="A56" s="56" t="s">
        <v>63</v>
      </c>
      <c r="B56" s="57">
        <v>120</v>
      </c>
      <c r="C56" s="57">
        <v>446874</v>
      </c>
      <c r="D56" s="57">
        <v>76727</v>
      </c>
      <c r="E56" s="57">
        <v>81173</v>
      </c>
      <c r="F56" s="57"/>
      <c r="G56" s="57">
        <v>132272</v>
      </c>
      <c r="H56" s="57"/>
      <c r="I56" s="57"/>
      <c r="J56" s="57">
        <v>3026</v>
      </c>
      <c r="K56" s="118">
        <f aca="true" t="shared" si="6" ref="K56:K61">SUM(C56:J56)</f>
        <v>740072</v>
      </c>
      <c r="L56" s="57">
        <v>75468</v>
      </c>
      <c r="M56" s="58">
        <v>6</v>
      </c>
      <c r="N56" s="119"/>
      <c r="O56" s="45"/>
    </row>
    <row r="57" spans="1:15" ht="12.75">
      <c r="A57" s="56" t="s">
        <v>38</v>
      </c>
      <c r="B57" s="57">
        <v>81</v>
      </c>
      <c r="C57" s="57">
        <v>114156</v>
      </c>
      <c r="D57" s="57"/>
      <c r="E57" s="57"/>
      <c r="F57" s="57"/>
      <c r="G57" s="57"/>
      <c r="H57" s="57"/>
      <c r="I57" s="57"/>
      <c r="J57" s="57">
        <v>8325</v>
      </c>
      <c r="K57" s="118">
        <f t="shared" si="6"/>
        <v>122481</v>
      </c>
      <c r="L57" s="57"/>
      <c r="M57" s="58">
        <v>2</v>
      </c>
      <c r="N57" s="119"/>
      <c r="O57" s="45"/>
    </row>
    <row r="58" spans="1:15" ht="12.75">
      <c r="A58" s="56" t="s">
        <v>33</v>
      </c>
      <c r="B58" s="57">
        <v>84</v>
      </c>
      <c r="C58" s="57">
        <v>308236</v>
      </c>
      <c r="D58" s="57"/>
      <c r="E58" s="57"/>
      <c r="F58" s="57"/>
      <c r="G58" s="57"/>
      <c r="H58" s="57"/>
      <c r="I58" s="57"/>
      <c r="J58" s="57">
        <v>29408</v>
      </c>
      <c r="K58" s="118">
        <f t="shared" si="6"/>
        <v>337644</v>
      </c>
      <c r="L58" s="57"/>
      <c r="M58" s="58">
        <v>5</v>
      </c>
      <c r="N58" s="119"/>
      <c r="O58" s="45"/>
    </row>
    <row r="59" spans="1:15" ht="12.75">
      <c r="A59" s="56" t="s">
        <v>34</v>
      </c>
      <c r="B59" s="57">
        <v>85</v>
      </c>
      <c r="C59" s="57">
        <v>73350</v>
      </c>
      <c r="D59" s="57"/>
      <c r="E59" s="57"/>
      <c r="F59" s="57">
        <v>10000</v>
      </c>
      <c r="G59" s="57">
        <v>59364</v>
      </c>
      <c r="H59" s="57"/>
      <c r="I59" s="57"/>
      <c r="J59" s="57">
        <v>12100</v>
      </c>
      <c r="K59" s="118">
        <f t="shared" si="6"/>
        <v>154814</v>
      </c>
      <c r="L59" s="57"/>
      <c r="M59" s="58">
        <v>1</v>
      </c>
      <c r="N59" s="119"/>
      <c r="O59" s="45"/>
    </row>
    <row r="60" spans="1:15" ht="12.75">
      <c r="A60" s="60" t="s">
        <v>35</v>
      </c>
      <c r="B60" s="61">
        <f>IF(A60="","",VLOOKUP(A60,$A$12:$B$50,2,FALSE))</f>
        <v>86</v>
      </c>
      <c r="C60" s="61">
        <v>280146</v>
      </c>
      <c r="D60" s="61"/>
      <c r="E60" s="61"/>
      <c r="F60" s="61"/>
      <c r="G60" s="61"/>
      <c r="H60" s="61"/>
      <c r="I60" s="61"/>
      <c r="J60" s="61">
        <v>37567</v>
      </c>
      <c r="K60" s="118">
        <f t="shared" si="6"/>
        <v>317713</v>
      </c>
      <c r="L60" s="61"/>
      <c r="M60" s="62">
        <v>2</v>
      </c>
      <c r="N60" s="119"/>
      <c r="O60" s="45"/>
    </row>
    <row r="61" spans="1:15" ht="12.75">
      <c r="A61" s="60" t="s">
        <v>36</v>
      </c>
      <c r="B61" s="61">
        <f>IF(A61="","",VLOOKUP(A61,$A$12:$B$50,2,FALSE))</f>
        <v>87</v>
      </c>
      <c r="C61" s="61">
        <v>33417</v>
      </c>
      <c r="D61" s="61"/>
      <c r="E61" s="61"/>
      <c r="F61" s="61"/>
      <c r="G61" s="61"/>
      <c r="H61" s="61"/>
      <c r="I61" s="61"/>
      <c r="J61" s="61">
        <v>21350</v>
      </c>
      <c r="K61" s="118">
        <f t="shared" si="6"/>
        <v>54767</v>
      </c>
      <c r="L61" s="61"/>
      <c r="M61" s="62">
        <v>1</v>
      </c>
      <c r="N61" s="119"/>
      <c r="O61" s="45"/>
    </row>
    <row r="63" spans="1:5" ht="12.75">
      <c r="A63" s="63" t="s">
        <v>21</v>
      </c>
      <c r="B63" s="175" t="s">
        <v>209</v>
      </c>
      <c r="C63" s="175"/>
      <c r="D63" s="175"/>
      <c r="E63" s="64"/>
    </row>
    <row r="64" spans="10:11" ht="12.75">
      <c r="J64" s="174" t="s">
        <v>211</v>
      </c>
      <c r="K64" s="174"/>
    </row>
    <row r="65" spans="10:11" ht="12.75">
      <c r="J65" s="173" t="s">
        <v>48</v>
      </c>
      <c r="K65" s="173"/>
    </row>
  </sheetData>
  <sheetProtection/>
  <mergeCells count="14">
    <mergeCell ref="A53:A54"/>
    <mergeCell ref="A52:M52"/>
    <mergeCell ref="K3:L3"/>
    <mergeCell ref="K2:L2"/>
    <mergeCell ref="B63:D63"/>
    <mergeCell ref="J64:K64"/>
    <mergeCell ref="J65:K65"/>
    <mergeCell ref="F5:M5"/>
    <mergeCell ref="A5:D5"/>
    <mergeCell ref="C10:D10"/>
    <mergeCell ref="M9:N9"/>
    <mergeCell ref="M7:M8"/>
    <mergeCell ref="N7:N8"/>
    <mergeCell ref="C7:D7"/>
  </mergeCells>
  <dataValidations count="1">
    <dataValidation type="list" allowBlank="1" showInputMessage="1" showErrorMessage="1" sqref="A55:A61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67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Fővárosi Büntetés-végrehajtási Intézet</v>
      </c>
    </row>
    <row r="2" spans="1:9" ht="12.75">
      <c r="A2" s="3" t="s">
        <v>71</v>
      </c>
      <c r="G2" s="5" t="s">
        <v>0</v>
      </c>
      <c r="H2" s="169" t="s">
        <v>210</v>
      </c>
      <c r="I2" s="170"/>
    </row>
    <row r="3" spans="1:9" ht="12.75">
      <c r="A3" s="3"/>
      <c r="G3" s="5" t="s">
        <v>77</v>
      </c>
      <c r="H3" s="169" t="s">
        <v>208</v>
      </c>
      <c r="I3" s="170"/>
    </row>
    <row r="4" ht="18" customHeight="1">
      <c r="A4" s="6"/>
    </row>
    <row r="5" spans="1:10" ht="18">
      <c r="A5" s="172" t="s">
        <v>85</v>
      </c>
      <c r="B5" s="172"/>
      <c r="C5" s="172"/>
      <c r="D5" s="172"/>
      <c r="E5" s="172"/>
      <c r="F5" s="7" t="s">
        <v>83</v>
      </c>
      <c r="G5" s="171" t="s">
        <v>166</v>
      </c>
      <c r="H5" s="171"/>
      <c r="I5" s="171"/>
      <c r="J5" s="17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21" t="s">
        <v>115</v>
      </c>
      <c r="E7" s="121"/>
      <c r="F7" s="16" t="s">
        <v>107</v>
      </c>
      <c r="G7" s="16" t="s">
        <v>110</v>
      </c>
      <c r="H7" s="16" t="s">
        <v>112</v>
      </c>
      <c r="I7" s="16" t="s">
        <v>112</v>
      </c>
      <c r="J7" s="122" t="s">
        <v>112</v>
      </c>
    </row>
    <row r="8" spans="1:10" ht="12.75">
      <c r="A8" s="123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4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4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7" t="s">
        <v>181</v>
      </c>
      <c r="G10" s="27" t="s">
        <v>183</v>
      </c>
      <c r="H10" s="27" t="s">
        <v>187</v>
      </c>
      <c r="I10" s="27" t="s">
        <v>184</v>
      </c>
      <c r="J10" s="146" t="s">
        <v>182</v>
      </c>
    </row>
    <row r="11" spans="1:10" s="40" customFormat="1" ht="23.25" customHeight="1">
      <c r="A11" s="34"/>
      <c r="B11" s="35"/>
      <c r="C11" s="36"/>
      <c r="D11" s="36"/>
      <c r="E11" s="36"/>
      <c r="F11" s="36"/>
      <c r="G11" s="36"/>
      <c r="H11" s="36"/>
      <c r="I11" s="36"/>
      <c r="J11" s="125"/>
    </row>
    <row r="12" spans="1:15" ht="12.75" customHeight="1">
      <c r="A12" s="41" t="s">
        <v>22</v>
      </c>
      <c r="B12" s="42">
        <v>71</v>
      </c>
      <c r="C12" s="43"/>
      <c r="D12" s="43"/>
      <c r="E12" s="43"/>
      <c r="F12" s="43"/>
      <c r="G12" s="43"/>
      <c r="H12" s="43"/>
      <c r="I12" s="43"/>
      <c r="J12" s="44">
        <f>SUM(C12:I12)</f>
        <v>0</v>
      </c>
      <c r="K12" s="64"/>
      <c r="L12" s="64"/>
      <c r="M12" s="64"/>
      <c r="N12" s="64"/>
      <c r="O12" s="64"/>
    </row>
    <row r="13" spans="1:15" ht="12.75" customHeight="1">
      <c r="A13" s="41" t="s">
        <v>23</v>
      </c>
      <c r="B13" s="42">
        <v>72</v>
      </c>
      <c r="C13" s="43"/>
      <c r="D13" s="43"/>
      <c r="E13" s="43"/>
      <c r="F13" s="43"/>
      <c r="G13" s="43"/>
      <c r="H13" s="43"/>
      <c r="I13" s="43"/>
      <c r="J13" s="44">
        <f aca="true" t="shared" si="0" ref="J13:J50">SUM(C13:I13)</f>
        <v>0</v>
      </c>
      <c r="K13" s="64"/>
      <c r="L13" s="64"/>
      <c r="M13" s="64"/>
      <c r="N13" s="64"/>
      <c r="O13" s="64"/>
    </row>
    <row r="14" spans="1:15" ht="12.75" customHeight="1">
      <c r="A14" s="41" t="s">
        <v>24</v>
      </c>
      <c r="B14" s="42">
        <v>73</v>
      </c>
      <c r="C14" s="43"/>
      <c r="D14" s="43"/>
      <c r="E14" s="43"/>
      <c r="F14" s="43"/>
      <c r="G14" s="43"/>
      <c r="H14" s="43"/>
      <c r="I14" s="43"/>
      <c r="J14" s="44">
        <f t="shared" si="0"/>
        <v>0</v>
      </c>
      <c r="K14" s="64"/>
      <c r="L14" s="64"/>
      <c r="M14" s="64"/>
      <c r="N14" s="64"/>
      <c r="O14" s="64"/>
    </row>
    <row r="15" spans="1:15" ht="12.75" customHeight="1">
      <c r="A15" s="41" t="s">
        <v>26</v>
      </c>
      <c r="B15" s="42">
        <v>74</v>
      </c>
      <c r="C15" s="43"/>
      <c r="D15" s="43"/>
      <c r="E15" s="43"/>
      <c r="F15" s="43"/>
      <c r="G15" s="43"/>
      <c r="H15" s="43"/>
      <c r="I15" s="43"/>
      <c r="J15" s="44">
        <f t="shared" si="0"/>
        <v>0</v>
      </c>
      <c r="K15" s="64"/>
      <c r="L15" s="64"/>
      <c r="M15" s="64"/>
      <c r="N15" s="64"/>
      <c r="O15" s="64"/>
    </row>
    <row r="16" spans="1:15" ht="12.75" customHeight="1">
      <c r="A16" s="41" t="s">
        <v>25</v>
      </c>
      <c r="B16" s="42">
        <v>75</v>
      </c>
      <c r="C16" s="43"/>
      <c r="D16" s="43"/>
      <c r="E16" s="43"/>
      <c r="F16" s="43"/>
      <c r="G16" s="43"/>
      <c r="H16" s="43"/>
      <c r="I16" s="43"/>
      <c r="J16" s="44">
        <f t="shared" si="0"/>
        <v>0</v>
      </c>
      <c r="K16" s="64"/>
      <c r="L16" s="64"/>
      <c r="M16" s="64"/>
      <c r="N16" s="64"/>
      <c r="O16" s="64"/>
    </row>
    <row r="17" spans="1:15" ht="12.75" customHeight="1">
      <c r="A17" s="41" t="s">
        <v>27</v>
      </c>
      <c r="B17" s="42">
        <v>76</v>
      </c>
      <c r="C17" s="43"/>
      <c r="D17" s="43"/>
      <c r="E17" s="43"/>
      <c r="F17" s="43"/>
      <c r="G17" s="43"/>
      <c r="H17" s="43"/>
      <c r="I17" s="43"/>
      <c r="J17" s="44">
        <f t="shared" si="0"/>
        <v>0</v>
      </c>
      <c r="K17" s="64"/>
      <c r="L17" s="64"/>
      <c r="M17" s="64"/>
      <c r="N17" s="64"/>
      <c r="O17" s="64"/>
    </row>
    <row r="18" spans="1:15" ht="12.75" customHeight="1">
      <c r="A18" s="41" t="s">
        <v>28</v>
      </c>
      <c r="B18" s="42">
        <v>77</v>
      </c>
      <c r="C18" s="43"/>
      <c r="D18" s="43"/>
      <c r="E18" s="43"/>
      <c r="F18" s="43"/>
      <c r="G18" s="43"/>
      <c r="H18" s="43"/>
      <c r="I18" s="43"/>
      <c r="J18" s="44">
        <f t="shared" si="0"/>
        <v>0</v>
      </c>
      <c r="K18" s="64"/>
      <c r="L18" s="64"/>
      <c r="M18" s="64"/>
      <c r="N18" s="64"/>
      <c r="O18" s="64"/>
    </row>
    <row r="19" spans="1:15" ht="12.75" customHeight="1">
      <c r="A19" s="41" t="s">
        <v>29</v>
      </c>
      <c r="B19" s="42">
        <v>78</v>
      </c>
      <c r="C19" s="43"/>
      <c r="D19" s="43"/>
      <c r="E19" s="43"/>
      <c r="F19" s="43"/>
      <c r="G19" s="43"/>
      <c r="H19" s="43"/>
      <c r="I19" s="43"/>
      <c r="J19" s="44">
        <f t="shared" si="0"/>
        <v>0</v>
      </c>
      <c r="K19" s="64"/>
      <c r="L19" s="64"/>
      <c r="M19" s="64"/>
      <c r="N19" s="64"/>
      <c r="O19" s="64"/>
    </row>
    <row r="20" spans="1:15" ht="12.75" customHeight="1">
      <c r="A20" s="41" t="s">
        <v>30</v>
      </c>
      <c r="B20" s="42">
        <v>79</v>
      </c>
      <c r="C20" s="43"/>
      <c r="D20" s="43"/>
      <c r="E20" s="43"/>
      <c r="F20" s="43"/>
      <c r="G20" s="43"/>
      <c r="H20" s="43"/>
      <c r="I20" s="43"/>
      <c r="J20" s="44">
        <f t="shared" si="0"/>
        <v>0</v>
      </c>
      <c r="K20" s="64"/>
      <c r="L20" s="64"/>
      <c r="M20" s="64"/>
      <c r="N20" s="64"/>
      <c r="O20" s="64"/>
    </row>
    <row r="21" spans="1:15" ht="12.75" customHeight="1">
      <c r="A21" s="41" t="s">
        <v>31</v>
      </c>
      <c r="B21" s="42">
        <v>80</v>
      </c>
      <c r="C21" s="43"/>
      <c r="D21" s="43"/>
      <c r="E21" s="43"/>
      <c r="F21" s="43"/>
      <c r="G21" s="43"/>
      <c r="H21" s="43"/>
      <c r="I21" s="43"/>
      <c r="J21" s="44">
        <f t="shared" si="0"/>
        <v>0</v>
      </c>
      <c r="K21" s="64"/>
      <c r="L21" s="64"/>
      <c r="M21" s="64"/>
      <c r="N21" s="64"/>
      <c r="O21" s="64"/>
    </row>
    <row r="22" spans="1:18" s="45" customFormat="1" ht="12.75" customHeight="1">
      <c r="A22" s="41" t="s">
        <v>38</v>
      </c>
      <c r="B22" s="42">
        <v>81</v>
      </c>
      <c r="C22" s="163">
        <f>85681+16067+1787</f>
        <v>103535</v>
      </c>
      <c r="D22" s="43"/>
      <c r="E22" s="163">
        <v>10711</v>
      </c>
      <c r="F22" s="163">
        <v>6825</v>
      </c>
      <c r="G22" s="43"/>
      <c r="H22" s="43"/>
      <c r="I22" s="43"/>
      <c r="J22" s="44">
        <f t="shared" si="0"/>
        <v>121071</v>
      </c>
      <c r="K22" s="64"/>
      <c r="L22" s="64"/>
      <c r="M22" s="64"/>
      <c r="N22" s="64"/>
      <c r="O22" s="64"/>
      <c r="P22" s="2"/>
      <c r="Q22" s="2"/>
      <c r="R22" s="2"/>
    </row>
    <row r="23" spans="1:15" ht="12.75">
      <c r="A23" s="41" t="s">
        <v>39</v>
      </c>
      <c r="B23" s="42">
        <v>82</v>
      </c>
      <c r="C23" s="163">
        <f>30657+5471+608</f>
        <v>36736</v>
      </c>
      <c r="D23" s="43"/>
      <c r="E23" s="163">
        <v>3463</v>
      </c>
      <c r="F23" s="163">
        <v>1950</v>
      </c>
      <c r="G23" s="43"/>
      <c r="H23" s="43"/>
      <c r="I23" s="43"/>
      <c r="J23" s="44">
        <f t="shared" si="0"/>
        <v>42149</v>
      </c>
      <c r="K23" s="64"/>
      <c r="L23" s="64"/>
      <c r="M23" s="64"/>
      <c r="N23" s="64"/>
      <c r="O23" s="64"/>
    </row>
    <row r="24" spans="1:15" ht="12.75">
      <c r="A24" s="41" t="s">
        <v>32</v>
      </c>
      <c r="B24" s="42">
        <v>83</v>
      </c>
      <c r="C24" s="163">
        <f>159173+29847+3316</f>
        <v>192336</v>
      </c>
      <c r="D24" s="43"/>
      <c r="E24" s="163">
        <v>19897</v>
      </c>
      <c r="F24" s="163">
        <v>8970</v>
      </c>
      <c r="G24" s="43"/>
      <c r="H24" s="43"/>
      <c r="I24" s="43"/>
      <c r="J24" s="44">
        <f t="shared" si="0"/>
        <v>221203</v>
      </c>
      <c r="K24" s="64"/>
      <c r="L24" s="64"/>
      <c r="M24" s="64"/>
      <c r="N24" s="64"/>
      <c r="O24" s="64"/>
    </row>
    <row r="25" spans="1:15" ht="12.75">
      <c r="A25" s="41" t="s">
        <v>33</v>
      </c>
      <c r="B25" s="42">
        <v>84</v>
      </c>
      <c r="C25" s="163">
        <f>1503995+268500+26277</f>
        <v>1798772</v>
      </c>
      <c r="D25" s="43"/>
      <c r="E25" s="163">
        <v>171520</v>
      </c>
      <c r="F25" s="163">
        <v>75660</v>
      </c>
      <c r="G25" s="163"/>
      <c r="H25" s="43"/>
      <c r="I25" s="43"/>
      <c r="J25" s="44">
        <f t="shared" si="0"/>
        <v>2045952</v>
      </c>
      <c r="K25" s="64"/>
      <c r="L25" s="64"/>
      <c r="M25" s="64"/>
      <c r="N25" s="64"/>
      <c r="O25" s="64"/>
    </row>
    <row r="26" spans="1:15" ht="12.75">
      <c r="A26" s="41" t="s">
        <v>34</v>
      </c>
      <c r="B26" s="42">
        <v>85</v>
      </c>
      <c r="C26" s="163">
        <f>180164+33782+3754</f>
        <v>217700</v>
      </c>
      <c r="D26" s="43"/>
      <c r="E26" s="163">
        <v>22520</v>
      </c>
      <c r="F26" s="163">
        <v>5850</v>
      </c>
      <c r="G26" s="43"/>
      <c r="H26" s="43"/>
      <c r="I26" s="43"/>
      <c r="J26" s="44">
        <f t="shared" si="0"/>
        <v>246070</v>
      </c>
      <c r="K26" s="64"/>
      <c r="L26" s="64"/>
      <c r="M26" s="64"/>
      <c r="N26" s="64"/>
      <c r="O26" s="64"/>
    </row>
    <row r="27" spans="1:15" ht="12.75">
      <c r="A27" s="41" t="s">
        <v>35</v>
      </c>
      <c r="B27" s="42">
        <v>86</v>
      </c>
      <c r="C27" s="163">
        <f>386137+69907+7769</f>
        <v>463813</v>
      </c>
      <c r="D27" s="43"/>
      <c r="E27" s="163">
        <v>44942</v>
      </c>
      <c r="F27" s="163">
        <v>11700</v>
      </c>
      <c r="G27" s="43"/>
      <c r="H27" s="43"/>
      <c r="I27" s="43"/>
      <c r="J27" s="44">
        <f t="shared" si="0"/>
        <v>520455</v>
      </c>
      <c r="K27" s="64"/>
      <c r="L27" s="64"/>
      <c r="M27" s="64"/>
      <c r="N27" s="64"/>
      <c r="O27" s="64"/>
    </row>
    <row r="28" spans="1:15" ht="12.75">
      <c r="A28" s="41" t="s">
        <v>36</v>
      </c>
      <c r="B28" s="42">
        <v>87</v>
      </c>
      <c r="C28" s="163">
        <f>115170+19932+2215</f>
        <v>137317</v>
      </c>
      <c r="D28" s="43"/>
      <c r="E28" s="163">
        <v>12180</v>
      </c>
      <c r="F28" s="163">
        <v>3900</v>
      </c>
      <c r="G28" s="43"/>
      <c r="H28" s="43"/>
      <c r="I28" s="43"/>
      <c r="J28" s="44">
        <f t="shared" si="0"/>
        <v>153397</v>
      </c>
      <c r="K28" s="64"/>
      <c r="L28" s="64"/>
      <c r="M28" s="64"/>
      <c r="N28" s="64"/>
      <c r="O28" s="64"/>
    </row>
    <row r="29" spans="1:15" ht="12.75">
      <c r="A29" s="41" t="s">
        <v>37</v>
      </c>
      <c r="B29" s="42">
        <v>88</v>
      </c>
      <c r="C29" s="163">
        <f>154332+28937+3216</f>
        <v>186485</v>
      </c>
      <c r="D29" s="43"/>
      <c r="E29" s="163">
        <v>19292</v>
      </c>
      <c r="F29" s="163">
        <v>3900</v>
      </c>
      <c r="G29" s="43"/>
      <c r="H29" s="43"/>
      <c r="I29" s="43"/>
      <c r="J29" s="44">
        <f t="shared" si="0"/>
        <v>209677</v>
      </c>
      <c r="K29" s="64"/>
      <c r="L29" s="64"/>
      <c r="M29" s="64"/>
      <c r="N29" s="64"/>
      <c r="O29" s="64"/>
    </row>
    <row r="30" spans="1:15" ht="12.75">
      <c r="A30" s="41" t="s">
        <v>40</v>
      </c>
      <c r="B30" s="42">
        <v>89</v>
      </c>
      <c r="C30" s="163">
        <f>378010+70047+7785</f>
        <v>455842</v>
      </c>
      <c r="D30" s="43"/>
      <c r="E30" s="163">
        <v>46143</v>
      </c>
      <c r="F30" s="163">
        <v>7800</v>
      </c>
      <c r="G30" s="43"/>
      <c r="H30" s="43"/>
      <c r="I30" s="43"/>
      <c r="J30" s="44">
        <f t="shared" si="0"/>
        <v>509785</v>
      </c>
      <c r="K30" s="64"/>
      <c r="L30" s="64"/>
      <c r="M30" s="64"/>
      <c r="N30" s="64"/>
      <c r="O30" s="64"/>
    </row>
    <row r="31" spans="1:15" ht="12.75">
      <c r="A31" s="41" t="s">
        <v>41</v>
      </c>
      <c r="B31" s="42">
        <v>90</v>
      </c>
      <c r="C31" s="43"/>
      <c r="D31" s="43"/>
      <c r="E31" s="43"/>
      <c r="F31" s="43"/>
      <c r="G31" s="43"/>
      <c r="H31" s="43"/>
      <c r="I31" s="43"/>
      <c r="J31" s="44">
        <f t="shared" si="0"/>
        <v>0</v>
      </c>
      <c r="K31" s="64"/>
      <c r="L31" s="64"/>
      <c r="M31" s="64"/>
      <c r="N31" s="64"/>
      <c r="O31" s="64"/>
    </row>
    <row r="32" spans="1:15" s="48" customFormat="1" ht="12.75">
      <c r="A32" s="46" t="s">
        <v>73</v>
      </c>
      <c r="B32" s="42">
        <v>92</v>
      </c>
      <c r="C32" s="47">
        <f aca="true" t="shared" si="1" ref="C32:I32">SUM(C12:C31)</f>
        <v>3592536</v>
      </c>
      <c r="D32" s="47">
        <f>SUM(D12:D31)</f>
        <v>0</v>
      </c>
      <c r="E32" s="47">
        <f t="shared" si="1"/>
        <v>350668</v>
      </c>
      <c r="F32" s="47">
        <f t="shared" si="1"/>
        <v>126555</v>
      </c>
      <c r="G32" s="47">
        <v>37250</v>
      </c>
      <c r="H32" s="47">
        <f t="shared" si="1"/>
        <v>0</v>
      </c>
      <c r="I32" s="47">
        <f t="shared" si="1"/>
        <v>0</v>
      </c>
      <c r="J32" s="44">
        <f t="shared" si="0"/>
        <v>4107009</v>
      </c>
      <c r="K32" s="126"/>
      <c r="L32" s="126"/>
      <c r="M32" s="126"/>
      <c r="N32" s="126"/>
      <c r="O32" s="126"/>
    </row>
    <row r="33" spans="1:15" ht="12.75">
      <c r="A33" s="49" t="s">
        <v>64</v>
      </c>
      <c r="B33" s="42">
        <v>104</v>
      </c>
      <c r="C33" s="43"/>
      <c r="D33" s="43"/>
      <c r="E33" s="43"/>
      <c r="F33" s="43"/>
      <c r="G33" s="43"/>
      <c r="H33" s="43"/>
      <c r="I33" s="43"/>
      <c r="J33" s="44">
        <f t="shared" si="0"/>
        <v>0</v>
      </c>
      <c r="K33" s="64"/>
      <c r="L33" s="64"/>
      <c r="M33" s="64"/>
      <c r="N33" s="64"/>
      <c r="O33" s="64"/>
    </row>
    <row r="34" spans="1:15" ht="12.75">
      <c r="A34" s="49" t="s">
        <v>65</v>
      </c>
      <c r="B34" s="42">
        <v>105</v>
      </c>
      <c r="C34" s="43"/>
      <c r="D34" s="43"/>
      <c r="E34" s="43"/>
      <c r="F34" s="43"/>
      <c r="G34" s="43"/>
      <c r="H34" s="43"/>
      <c r="I34" s="43"/>
      <c r="J34" s="44">
        <f t="shared" si="0"/>
        <v>0</v>
      </c>
      <c r="K34" s="64"/>
      <c r="L34" s="64"/>
      <c r="M34" s="64"/>
      <c r="N34" s="64"/>
      <c r="O34" s="64"/>
    </row>
    <row r="35" spans="1:15" ht="12.75">
      <c r="A35" s="49" t="s">
        <v>66</v>
      </c>
      <c r="B35" s="42">
        <v>106</v>
      </c>
      <c r="C35" s="43"/>
      <c r="D35" s="43"/>
      <c r="E35" s="43"/>
      <c r="F35" s="43"/>
      <c r="G35" s="43"/>
      <c r="H35" s="43"/>
      <c r="I35" s="43"/>
      <c r="J35" s="44">
        <f t="shared" si="0"/>
        <v>0</v>
      </c>
      <c r="K35" s="64"/>
      <c r="L35" s="64"/>
      <c r="M35" s="64"/>
      <c r="N35" s="64"/>
      <c r="O35" s="64"/>
    </row>
    <row r="36" spans="1:15" ht="12.75">
      <c r="A36" s="49" t="s">
        <v>67</v>
      </c>
      <c r="B36" s="42">
        <v>107</v>
      </c>
      <c r="C36" s="43"/>
      <c r="D36" s="43"/>
      <c r="E36" s="43"/>
      <c r="F36" s="43"/>
      <c r="G36" s="43"/>
      <c r="H36" s="43"/>
      <c r="I36" s="43"/>
      <c r="J36" s="44">
        <f t="shared" si="0"/>
        <v>0</v>
      </c>
      <c r="K36" s="64"/>
      <c r="L36" s="64"/>
      <c r="M36" s="64"/>
      <c r="N36" s="64"/>
      <c r="O36" s="64"/>
    </row>
    <row r="37" spans="1:15" ht="12.75">
      <c r="A37" s="49" t="s">
        <v>68</v>
      </c>
      <c r="B37" s="42">
        <v>108</v>
      </c>
      <c r="C37" s="43"/>
      <c r="D37" s="43"/>
      <c r="E37" s="43"/>
      <c r="F37" s="43"/>
      <c r="G37" s="43"/>
      <c r="H37" s="43"/>
      <c r="I37" s="43"/>
      <c r="J37" s="44">
        <f t="shared" si="0"/>
        <v>0</v>
      </c>
      <c r="K37" s="64"/>
      <c r="L37" s="64"/>
      <c r="M37" s="64"/>
      <c r="N37" s="64"/>
      <c r="O37" s="64"/>
    </row>
    <row r="38" spans="1:15" ht="12.75">
      <c r="A38" s="49" t="s">
        <v>69</v>
      </c>
      <c r="B38" s="42">
        <v>109</v>
      </c>
      <c r="C38" s="43"/>
      <c r="D38" s="43"/>
      <c r="E38" s="43"/>
      <c r="F38" s="43"/>
      <c r="G38" s="43"/>
      <c r="H38" s="43"/>
      <c r="I38" s="43"/>
      <c r="J38" s="44">
        <f t="shared" si="0"/>
        <v>0</v>
      </c>
      <c r="K38" s="64"/>
      <c r="L38" s="64"/>
      <c r="M38" s="64"/>
      <c r="N38" s="64"/>
      <c r="O38" s="64"/>
    </row>
    <row r="39" spans="1:15" s="48" customFormat="1" ht="12.75">
      <c r="A39" s="46" t="s">
        <v>72</v>
      </c>
      <c r="B39" s="42">
        <v>110</v>
      </c>
      <c r="C39" s="47">
        <f aca="true" t="shared" si="2" ref="C39:I39">SUM(C33:C38)</f>
        <v>0</v>
      </c>
      <c r="D39" s="47">
        <f>SUM(D33:D38)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4">
        <f t="shared" si="0"/>
        <v>0</v>
      </c>
      <c r="K39" s="126"/>
      <c r="L39" s="126"/>
      <c r="M39" s="126"/>
      <c r="N39" s="126"/>
      <c r="O39" s="126"/>
    </row>
    <row r="40" spans="1:15" ht="12.75">
      <c r="A40" s="50" t="s">
        <v>57</v>
      </c>
      <c r="B40" s="42">
        <v>111</v>
      </c>
      <c r="C40" s="43"/>
      <c r="D40" s="43"/>
      <c r="E40" s="43"/>
      <c r="F40" s="43"/>
      <c r="G40" s="43"/>
      <c r="H40" s="43"/>
      <c r="I40" s="43"/>
      <c r="J40" s="44">
        <f t="shared" si="0"/>
        <v>0</v>
      </c>
      <c r="K40" s="64"/>
      <c r="L40" s="64"/>
      <c r="M40" s="64"/>
      <c r="N40" s="64"/>
      <c r="O40" s="64"/>
    </row>
    <row r="41" spans="1:15" ht="12.75">
      <c r="A41" s="50" t="s">
        <v>58</v>
      </c>
      <c r="B41" s="42">
        <v>112</v>
      </c>
      <c r="C41" s="43"/>
      <c r="D41" s="43"/>
      <c r="E41" s="43"/>
      <c r="F41" s="43"/>
      <c r="G41" s="43"/>
      <c r="H41" s="43"/>
      <c r="I41" s="43"/>
      <c r="J41" s="44">
        <f t="shared" si="0"/>
        <v>0</v>
      </c>
      <c r="K41" s="64"/>
      <c r="L41" s="64"/>
      <c r="M41" s="64"/>
      <c r="N41" s="64"/>
      <c r="O41" s="64"/>
    </row>
    <row r="42" spans="1:15" ht="12.75">
      <c r="A42" s="50" t="s">
        <v>59</v>
      </c>
      <c r="B42" s="42">
        <v>113</v>
      </c>
      <c r="C42" s="163">
        <f>150156+28154+3128</f>
        <v>181438</v>
      </c>
      <c r="D42" s="43"/>
      <c r="E42" s="163">
        <v>18770</v>
      </c>
      <c r="F42" s="163">
        <v>1950</v>
      </c>
      <c r="G42" s="43"/>
      <c r="H42" s="43"/>
      <c r="I42" s="43"/>
      <c r="J42" s="44">
        <f t="shared" si="0"/>
        <v>202158</v>
      </c>
      <c r="K42" s="64"/>
      <c r="L42" s="64"/>
      <c r="M42" s="64"/>
      <c r="N42" s="64"/>
      <c r="O42" s="64"/>
    </row>
    <row r="43" spans="1:15" ht="12.75">
      <c r="A43" s="50" t="s">
        <v>60</v>
      </c>
      <c r="B43" s="42">
        <v>114</v>
      </c>
      <c r="C43" s="163">
        <f>499034+93568+10397</f>
        <v>602999</v>
      </c>
      <c r="D43" s="43"/>
      <c r="E43" s="163">
        <v>62381</v>
      </c>
      <c r="F43" s="163">
        <v>7800</v>
      </c>
      <c r="G43" s="43"/>
      <c r="H43" s="43"/>
      <c r="I43" s="43"/>
      <c r="J43" s="44">
        <f t="shared" si="0"/>
        <v>673180</v>
      </c>
      <c r="K43" s="64"/>
      <c r="L43" s="64"/>
      <c r="M43" s="64"/>
      <c r="N43" s="64"/>
      <c r="O43" s="64"/>
    </row>
    <row r="44" spans="1:15" ht="12.75">
      <c r="A44" s="50" t="s">
        <v>61</v>
      </c>
      <c r="B44" s="42">
        <v>115</v>
      </c>
      <c r="C44" s="163">
        <f>1986037+372383+41381</f>
        <v>2399801</v>
      </c>
      <c r="D44" s="43"/>
      <c r="E44" s="163">
        <v>248257</v>
      </c>
      <c r="F44" s="163">
        <v>33670</v>
      </c>
      <c r="G44" s="43"/>
      <c r="H44" s="43"/>
      <c r="I44" s="43"/>
      <c r="J44" s="44">
        <f t="shared" si="0"/>
        <v>2681728</v>
      </c>
      <c r="K44" s="64"/>
      <c r="L44" s="64"/>
      <c r="M44" s="64"/>
      <c r="N44" s="64"/>
      <c r="O44" s="64"/>
    </row>
    <row r="45" spans="1:15" ht="12.75">
      <c r="A45" s="50" t="s">
        <v>62</v>
      </c>
      <c r="B45" s="42">
        <v>119</v>
      </c>
      <c r="C45" s="163">
        <f>6583782+1180781+131197</f>
        <v>7895760</v>
      </c>
      <c r="D45" s="43"/>
      <c r="E45" s="163">
        <v>750132</v>
      </c>
      <c r="F45" s="163">
        <v>131625</v>
      </c>
      <c r="G45" s="43"/>
      <c r="H45" s="43"/>
      <c r="I45" s="43"/>
      <c r="J45" s="44">
        <f t="shared" si="0"/>
        <v>8777517</v>
      </c>
      <c r="K45" s="64"/>
      <c r="L45" s="64"/>
      <c r="M45" s="64"/>
      <c r="N45" s="64"/>
      <c r="O45" s="64"/>
    </row>
    <row r="46" spans="1:15" ht="12.75">
      <c r="A46" s="50" t="s">
        <v>63</v>
      </c>
      <c r="B46" s="42">
        <v>120</v>
      </c>
      <c r="C46" s="163">
        <f>24902214+4627031+513573</f>
        <v>30042818</v>
      </c>
      <c r="D46" s="43"/>
      <c r="E46" s="163">
        <v>3060442</v>
      </c>
      <c r="F46" s="163">
        <v>956410</v>
      </c>
      <c r="G46" s="43"/>
      <c r="H46" s="43"/>
      <c r="I46" s="43"/>
      <c r="J46" s="44">
        <f t="shared" si="0"/>
        <v>34059670</v>
      </c>
      <c r="K46" s="64"/>
      <c r="L46" s="64"/>
      <c r="M46" s="64"/>
      <c r="N46" s="64"/>
      <c r="O46" s="64"/>
    </row>
    <row r="47" spans="1:15" s="48" customFormat="1" ht="12.75">
      <c r="A47" s="46" t="s">
        <v>74</v>
      </c>
      <c r="B47" s="47">
        <v>121</v>
      </c>
      <c r="C47" s="47">
        <f aca="true" t="shared" si="3" ref="C47:I47">SUM(C40:C46)</f>
        <v>41122816</v>
      </c>
      <c r="D47" s="47">
        <f>SUM(D40:D46)</f>
        <v>0</v>
      </c>
      <c r="E47" s="47">
        <f t="shared" si="3"/>
        <v>4139982</v>
      </c>
      <c r="F47" s="47">
        <f t="shared" si="3"/>
        <v>1131455</v>
      </c>
      <c r="G47" s="47">
        <v>868841</v>
      </c>
      <c r="H47" s="47">
        <f t="shared" si="3"/>
        <v>0</v>
      </c>
      <c r="I47" s="47">
        <f t="shared" si="3"/>
        <v>0</v>
      </c>
      <c r="J47" s="44">
        <f t="shared" si="0"/>
        <v>47263094</v>
      </c>
      <c r="K47" s="126"/>
      <c r="L47" s="126"/>
      <c r="M47" s="126"/>
      <c r="N47" s="126"/>
      <c r="O47" s="126"/>
    </row>
    <row r="48" spans="1:15" s="48" customFormat="1" ht="12.75">
      <c r="A48" s="46" t="s">
        <v>119</v>
      </c>
      <c r="B48" s="47">
        <v>152</v>
      </c>
      <c r="C48" s="47">
        <f aca="true" t="shared" si="4" ref="C48:I48">C32+C39+C47</f>
        <v>44715352</v>
      </c>
      <c r="D48" s="47">
        <f>D32+D39+D47</f>
        <v>0</v>
      </c>
      <c r="E48" s="47">
        <f t="shared" si="4"/>
        <v>4490650</v>
      </c>
      <c r="F48" s="47">
        <f t="shared" si="4"/>
        <v>1258010</v>
      </c>
      <c r="G48" s="47">
        <f t="shared" si="4"/>
        <v>906091</v>
      </c>
      <c r="H48" s="47">
        <f t="shared" si="4"/>
        <v>0</v>
      </c>
      <c r="I48" s="47">
        <f t="shared" si="4"/>
        <v>0</v>
      </c>
      <c r="J48" s="44">
        <f t="shared" si="0"/>
        <v>51370103</v>
      </c>
      <c r="K48" s="126"/>
      <c r="L48" s="126"/>
      <c r="M48" s="126"/>
      <c r="N48" s="126"/>
      <c r="O48" s="126"/>
    </row>
    <row r="49" spans="1:15" s="48" customFormat="1" ht="12.75">
      <c r="A49" s="46" t="s">
        <v>51</v>
      </c>
      <c r="B49" s="47">
        <v>158</v>
      </c>
      <c r="C49" s="166">
        <f>117518+22035+2449</f>
        <v>142002</v>
      </c>
      <c r="D49" s="51"/>
      <c r="E49" s="163">
        <v>14690</v>
      </c>
      <c r="F49" s="163">
        <v>2438</v>
      </c>
      <c r="G49" s="51"/>
      <c r="H49" s="51"/>
      <c r="I49" s="51"/>
      <c r="J49" s="44">
        <f t="shared" si="0"/>
        <v>159130</v>
      </c>
      <c r="K49" s="126"/>
      <c r="L49" s="126"/>
      <c r="M49" s="126"/>
      <c r="N49" s="126"/>
      <c r="O49" s="126"/>
    </row>
    <row r="50" spans="1:15" s="48" customFormat="1" ht="12.75">
      <c r="A50" s="46" t="s">
        <v>75</v>
      </c>
      <c r="B50" s="47">
        <v>159</v>
      </c>
      <c r="C50" s="47">
        <f aca="true" t="shared" si="5" ref="C50:I50">C48+C49</f>
        <v>44857354</v>
      </c>
      <c r="D50" s="47">
        <f>D48+D49</f>
        <v>0</v>
      </c>
      <c r="E50" s="47">
        <f t="shared" si="5"/>
        <v>4505340</v>
      </c>
      <c r="F50" s="47">
        <f t="shared" si="5"/>
        <v>1260448</v>
      </c>
      <c r="G50" s="47">
        <v>906091</v>
      </c>
      <c r="H50" s="47">
        <f t="shared" si="5"/>
        <v>0</v>
      </c>
      <c r="I50" s="47">
        <f t="shared" si="5"/>
        <v>0</v>
      </c>
      <c r="J50" s="44">
        <f t="shared" si="0"/>
        <v>51529233</v>
      </c>
      <c r="K50" s="126"/>
      <c r="L50" s="126"/>
      <c r="M50" s="126"/>
      <c r="N50" s="126"/>
      <c r="O50" s="126"/>
    </row>
    <row r="51" spans="1:14" s="48" customFormat="1" ht="12.75">
      <c r="A51" s="113"/>
      <c r="B51" s="114"/>
      <c r="C51" s="114"/>
      <c r="D51" s="114"/>
      <c r="E51" s="114"/>
      <c r="F51" s="114"/>
      <c r="G51" s="114"/>
      <c r="H51" s="114"/>
      <c r="I51" s="114"/>
      <c r="J51" s="115"/>
      <c r="K51" s="52"/>
      <c r="L51" s="52"/>
      <c r="M51" s="52"/>
      <c r="N51" s="52"/>
    </row>
    <row r="52" spans="1:14" s="48" customFormat="1" ht="15" customHeight="1">
      <c r="A52" s="193" t="s">
        <v>163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39"/>
      <c r="N52" s="135"/>
    </row>
    <row r="53" spans="1:14" s="48" customFormat="1" ht="12.75">
      <c r="A53" s="178" t="s">
        <v>3</v>
      </c>
      <c r="B53" s="136" t="s">
        <v>49</v>
      </c>
      <c r="C53" s="137" t="s">
        <v>188</v>
      </c>
      <c r="D53" s="137" t="s">
        <v>189</v>
      </c>
      <c r="E53" s="137" t="s">
        <v>106</v>
      </c>
      <c r="F53" s="137" t="s">
        <v>190</v>
      </c>
      <c r="G53" s="137" t="s">
        <v>191</v>
      </c>
      <c r="H53" s="137" t="s">
        <v>192</v>
      </c>
      <c r="I53" s="137" t="s">
        <v>192</v>
      </c>
      <c r="J53" s="137" t="s">
        <v>192</v>
      </c>
      <c r="K53" s="191" t="s">
        <v>160</v>
      </c>
      <c r="L53" s="192"/>
      <c r="M53" s="127"/>
      <c r="N53" s="128"/>
    </row>
    <row r="54" spans="1:14" s="48" customFormat="1" ht="12.75">
      <c r="A54" s="179"/>
      <c r="B54" s="54" t="s">
        <v>50</v>
      </c>
      <c r="C54" s="55" t="s">
        <v>105</v>
      </c>
      <c r="D54" s="55" t="s">
        <v>105</v>
      </c>
      <c r="E54" s="55" t="s">
        <v>105</v>
      </c>
      <c r="F54" s="55" t="s">
        <v>109</v>
      </c>
      <c r="G54" s="55" t="s">
        <v>109</v>
      </c>
      <c r="H54" s="55" t="s">
        <v>193</v>
      </c>
      <c r="I54" s="55" t="s">
        <v>194</v>
      </c>
      <c r="J54" s="117" t="s">
        <v>114</v>
      </c>
      <c r="K54" s="54" t="s">
        <v>162</v>
      </c>
      <c r="L54" s="129" t="s">
        <v>161</v>
      </c>
      <c r="M54" s="127"/>
      <c r="N54" s="128"/>
    </row>
    <row r="55" spans="1:16" s="48" customFormat="1" ht="12.75">
      <c r="A55" s="56" t="s">
        <v>62</v>
      </c>
      <c r="B55" s="57">
        <f>IF(A55="","",VLOOKUP(A55,$A$12:$B$50,2,FALSE))</f>
        <v>119</v>
      </c>
      <c r="C55" s="57">
        <v>86789</v>
      </c>
      <c r="D55" s="57"/>
      <c r="E55" s="57">
        <v>8978</v>
      </c>
      <c r="F55" s="57">
        <v>1820</v>
      </c>
      <c r="G55" s="57"/>
      <c r="H55" s="57"/>
      <c r="I55" s="57"/>
      <c r="J55" s="130">
        <f>SUM(C55:I55)</f>
        <v>97587</v>
      </c>
      <c r="K55" s="57"/>
      <c r="L55" s="58"/>
      <c r="M55" s="131"/>
      <c r="N55" s="114"/>
      <c r="O55" s="116"/>
      <c r="P55" s="132"/>
    </row>
    <row r="56" spans="1:16" s="48" customFormat="1" ht="12.75">
      <c r="A56" s="56" t="s">
        <v>63</v>
      </c>
      <c r="B56" s="57">
        <v>120</v>
      </c>
      <c r="C56" s="57">
        <v>245769</v>
      </c>
      <c r="D56" s="57"/>
      <c r="E56" s="57">
        <v>25424</v>
      </c>
      <c r="F56" s="57">
        <v>9555</v>
      </c>
      <c r="G56" s="57"/>
      <c r="H56" s="57"/>
      <c r="I56" s="57"/>
      <c r="J56" s="130">
        <f aca="true" t="shared" si="6" ref="J56:J61">SUM(C56:I56)</f>
        <v>280748</v>
      </c>
      <c r="K56" s="57"/>
      <c r="L56" s="58"/>
      <c r="M56" s="131"/>
      <c r="N56" s="114"/>
      <c r="O56" s="116"/>
      <c r="P56" s="132"/>
    </row>
    <row r="57" spans="1:16" s="48" customFormat="1" ht="12.75">
      <c r="A57" s="56" t="s">
        <v>38</v>
      </c>
      <c r="B57" s="57">
        <v>81</v>
      </c>
      <c r="C57" s="57">
        <v>43150</v>
      </c>
      <c r="D57" s="57"/>
      <c r="E57" s="57">
        <v>4464</v>
      </c>
      <c r="F57" s="57">
        <v>2925</v>
      </c>
      <c r="G57" s="57"/>
      <c r="H57" s="57"/>
      <c r="I57" s="57"/>
      <c r="J57" s="130">
        <f t="shared" si="6"/>
        <v>50539</v>
      </c>
      <c r="K57" s="57"/>
      <c r="L57" s="58"/>
      <c r="M57" s="131"/>
      <c r="N57" s="114"/>
      <c r="O57" s="116"/>
      <c r="P57" s="132"/>
    </row>
    <row r="58" spans="1:16" s="48" customFormat="1" ht="12.75">
      <c r="A58" s="56" t="s">
        <v>33</v>
      </c>
      <c r="B58" s="57">
        <v>84</v>
      </c>
      <c r="C58" s="57">
        <v>151787</v>
      </c>
      <c r="D58" s="57"/>
      <c r="E58" s="57">
        <v>13559</v>
      </c>
      <c r="F58" s="57">
        <v>7540</v>
      </c>
      <c r="G58" s="57"/>
      <c r="H58" s="57"/>
      <c r="I58" s="57"/>
      <c r="J58" s="130">
        <f t="shared" si="6"/>
        <v>172886</v>
      </c>
      <c r="K58" s="57"/>
      <c r="L58" s="58"/>
      <c r="M58" s="131"/>
      <c r="N58" s="114"/>
      <c r="O58" s="116"/>
      <c r="P58" s="132"/>
    </row>
    <row r="59" spans="1:16" s="48" customFormat="1" ht="12.75">
      <c r="A59" s="56" t="s">
        <v>34</v>
      </c>
      <c r="B59" s="57">
        <v>85</v>
      </c>
      <c r="C59" s="57">
        <v>64957</v>
      </c>
      <c r="D59" s="57"/>
      <c r="E59" s="57">
        <v>6719</v>
      </c>
      <c r="F59" s="57">
        <v>1950</v>
      </c>
      <c r="G59" s="57"/>
      <c r="H59" s="57"/>
      <c r="I59" s="57"/>
      <c r="J59" s="130">
        <f t="shared" si="6"/>
        <v>73626</v>
      </c>
      <c r="K59" s="57"/>
      <c r="L59" s="58"/>
      <c r="M59" s="131"/>
      <c r="N59" s="114"/>
      <c r="O59" s="116"/>
      <c r="P59" s="132"/>
    </row>
    <row r="60" spans="1:16" s="48" customFormat="1" ht="12.75">
      <c r="A60" s="60" t="s">
        <v>35</v>
      </c>
      <c r="B60" s="61">
        <f>IF(A60="","",VLOOKUP(A60,$A$12:$B$50,2,FALSE))</f>
        <v>86</v>
      </c>
      <c r="C60" s="57">
        <v>161110</v>
      </c>
      <c r="D60" s="57"/>
      <c r="E60" s="57">
        <v>13628</v>
      </c>
      <c r="F60" s="57">
        <v>3900</v>
      </c>
      <c r="G60" s="57"/>
      <c r="H60" s="57"/>
      <c r="I60" s="57"/>
      <c r="J60" s="130">
        <f t="shared" si="6"/>
        <v>178638</v>
      </c>
      <c r="K60" s="57"/>
      <c r="L60" s="58"/>
      <c r="M60" s="131"/>
      <c r="N60" s="114"/>
      <c r="O60" s="116"/>
      <c r="P60" s="132"/>
    </row>
    <row r="61" spans="1:16" s="48" customFormat="1" ht="12.75">
      <c r="A61" s="60" t="s">
        <v>36</v>
      </c>
      <c r="B61" s="61">
        <f>IF(A61="","",VLOOKUP(A61,$A$12:$B$50,2,FALSE))</f>
        <v>87</v>
      </c>
      <c r="C61" s="61">
        <v>35471</v>
      </c>
      <c r="D61" s="61"/>
      <c r="E61" s="61">
        <v>1644</v>
      </c>
      <c r="F61" s="61">
        <v>1950</v>
      </c>
      <c r="G61" s="61"/>
      <c r="H61" s="61"/>
      <c r="I61" s="61"/>
      <c r="J61" s="130">
        <f t="shared" si="6"/>
        <v>39065</v>
      </c>
      <c r="K61" s="61"/>
      <c r="L61" s="62"/>
      <c r="M61" s="131"/>
      <c r="N61" s="114"/>
      <c r="O61" s="116"/>
      <c r="P61" s="132"/>
    </row>
    <row r="63" spans="1:6" ht="12.75">
      <c r="A63" s="63" t="s">
        <v>21</v>
      </c>
      <c r="B63" s="175" t="s">
        <v>209</v>
      </c>
      <c r="C63" s="175"/>
      <c r="D63" s="175"/>
      <c r="E63" s="175"/>
      <c r="F63" s="64"/>
    </row>
    <row r="64" spans="8:9" ht="12.75">
      <c r="H64" s="174" t="s">
        <v>211</v>
      </c>
      <c r="I64" s="174"/>
    </row>
    <row r="65" spans="8:9" ht="12.75">
      <c r="H65" s="173" t="s">
        <v>48</v>
      </c>
      <c r="I65" s="173"/>
    </row>
  </sheetData>
  <sheetProtection/>
  <mergeCells count="10">
    <mergeCell ref="B63:E63"/>
    <mergeCell ref="H64:I64"/>
    <mergeCell ref="H65:I65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61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Boros Péter</cp:lastModifiedBy>
  <cp:lastPrinted>2008-07-18T13:29:59Z</cp:lastPrinted>
  <dcterms:created xsi:type="dcterms:W3CDTF">2001-02-26T08:59:43Z</dcterms:created>
  <dcterms:modified xsi:type="dcterms:W3CDTF">2008-08-06T11:46:18Z</dcterms:modified>
  <cp:category/>
  <cp:version/>
  <cp:contentType/>
  <cp:contentStatus/>
</cp:coreProperties>
</file>