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4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'össz'!$A$260:$A$293</definedName>
    <definedName name="Intézetek" localSheetId="28">'összM'!$A$223:$A$254</definedName>
    <definedName name="Intézetek">'össz'!$A$219:$A$250</definedName>
    <definedName name="_xlnm.Print_Area" localSheetId="27">'össz'!$A$1:$P$74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<sst xmlns="http://schemas.openxmlformats.org/spreadsheetml/2006/main" count="3354" uniqueCount="231">
  <si>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</si>
  <si>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</si>
  <si>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</si>
  <si>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</si>
  <si>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</si>
  <si>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</si>
  <si>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</si>
  <si>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</si>
  <si>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</si>
  <si>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</si>
  <si>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</si>
  <si>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</si>
  <si>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</si>
  <si>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</si>
  <si>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</si>
  <si>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</si>
  <si>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</si>
  <si>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</si>
  <si>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</si>
  <si>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</si>
  <si>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</si>
  <si>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</si>
  <si>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</si>
  <si>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</si>
  <si>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</si>
  <si>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</si>
  <si>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</si>
  <si>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</si>
  <si>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</si>
  <si>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</si>
  <si>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</si>
  <si>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</si>
  <si>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</si>
  <si>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</si>
  <si>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</si>
  <si>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</si>
  <si>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</si>
  <si>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</si>
  <si>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</si>
  <si>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</si>
  <si>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</si>
  <si>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</si>
  <si>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</si>
  <si>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</si>
  <si>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</si>
  <si>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</si>
  <si>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</si>
  <si>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</si>
  <si>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</si>
  <si>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</si>
  <si>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</si>
  <si>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</si>
  <si>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</si>
  <si>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</si>
  <si>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</si>
  <si>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</si>
  <si>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</si>
  <si>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</si>
  <si>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</si>
  <si>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</si>
  <si>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</si>
  <si>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</si>
  <si>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</si>
  <si>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</si>
  <si>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</si>
  <si>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</si>
  <si>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</si>
  <si>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</si>
  <si>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</si>
  <si>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</si>
  <si>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</si>
  <si>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</si>
  <si>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</si>
  <si>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</si>
  <si>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</si>
  <si>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</si>
  <si>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</si>
  <si>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</si>
  <si>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</si>
  <si>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</si>
  <si>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</si>
  <si>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</si>
  <si>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</si>
  <si>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</si>
  <si>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</si>
  <si>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</si>
  <si>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</si>
  <si>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</si>
  <si>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</si>
  <si>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</si>
  <si>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</si>
  <si>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</si>
  <si>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</si>
  <si>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</si>
  <si>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</si>
  <si>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</si>
  <si>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</si>
  <si>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</si>
  <si>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</si>
  <si>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</si>
  <si>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</si>
  <si>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</si>
  <si>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</si>
  <si>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</si>
  <si>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</si>
  <si>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</si>
  <si>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</si>
  <si>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</si>
  <si>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</si>
  <si>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</si>
  <si>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</si>
  <si>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</si>
  <si>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</si>
  <si>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</si>
  <si>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</si>
  <si>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</si>
  <si>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</si>
  <si>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</si>
  <si>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</si>
  <si>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</si>
  <si>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</si>
  <si>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</si>
  <si>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</si>
  <si>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</si>
  <si>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</si>
  <si>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</si>
  <si>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</si>
  <si>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</si>
  <si>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</si>
  <si>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</si>
  <si>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</si>
  <si>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</si>
  <si>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</si>
  <si>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</si>
  <si>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</si>
  <si>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</si>
  <si>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</si>
  <si>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</si>
  <si>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</si>
  <si>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</si>
  <si>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</si>
  <si>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</si>
  <si>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</si>
  <si>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</si>
  <si>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</si>
  <si>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</si>
  <si>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</si>
  <si>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</si>
  <si>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</si>
  <si>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</si>
  <si>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</si>
  <si>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</si>
  <si>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</si>
  <si>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</si>
  <si>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</si>
  <si>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</si>
  <si>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</si>
  <si>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</si>
  <si>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</si>
  <si>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</si>
  <si>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</si>
  <si>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</si>
  <si>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</si>
  <si>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</si>
  <si>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</si>
  <si>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</si>
  <si>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</si>
  <si>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</si>
  <si>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</si>
  <si>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</si>
  <si>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</si>
  <si>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</si>
  <si>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</si>
  <si>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</si>
  <si>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</si>
  <si>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</si>
  <si>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</si>
  <si>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</si>
  <si>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</si>
  <si>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</si>
  <si>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</si>
  <si>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</si>
  <si>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</si>
  <si>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</si>
  <si>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</si>
  <si>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</si>
  <si>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</si>
  <si>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</si>
  <si>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</si>
  <si>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</si>
  <si>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</si>
  <si>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</si>
  <si>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</si>
  <si>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</si>
  <si>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</si>
  <si>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</si>
  <si>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</si>
  <si>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</si>
  <si>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</si>
  <si>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</si>
  <si>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</si>
  <si>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</si>
  <si>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</si>
  <si>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</si>
  <si>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</si>
  <si>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</si>
  <si>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</si>
  <si>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</si>
  <si>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Bélleyné Sárközi Zsuzsanna</t>
  </si>
  <si>
    <t>Baracska, 2008. 06. 16.</t>
  </si>
  <si>
    <t xml:space="preserve">Bélleyné Sárközi Zsuzsanna </t>
  </si>
  <si>
    <t>22/454-023 /3011</t>
  </si>
  <si>
    <t>Baracska, 2008. 06. 17.</t>
  </si>
  <si>
    <t>Baracska,2008.06.02</t>
  </si>
  <si>
    <t>Smatkó Ferencné bv.őrgy.</t>
  </si>
  <si>
    <t>Baracska, 2008.06.02</t>
  </si>
  <si>
    <t>Smatkó Ferencné bv. őrgy.</t>
  </si>
  <si>
    <t>Baracska, 2008.06.04</t>
  </si>
  <si>
    <t>Kovács Erika bv.zls</t>
  </si>
  <si>
    <t>109-3009</t>
  </si>
  <si>
    <t>Kovács Erika bv. zls</t>
  </si>
  <si>
    <t>Baracska,2008.06.06</t>
  </si>
  <si>
    <t>Smatkó Ferencné bv.őrgy</t>
  </si>
  <si>
    <t>Baracska,2008.06.09</t>
  </si>
  <si>
    <t>Smatkó Ferencné bv. őrgy</t>
  </si>
  <si>
    <t>Baracska, 2008. 06.10</t>
  </si>
  <si>
    <t>Baracska, 2008. 06. 25.</t>
  </si>
  <si>
    <t>22/454-023 / 3011</t>
  </si>
  <si>
    <t>Baracska, 2008. június 26.</t>
  </si>
  <si>
    <t>Baracska, 2008. 07. 15.</t>
  </si>
  <si>
    <t>Baracska, 2008. július 17.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</si>
</sst>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26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26" borderId="18" xfId="0" applyNumberForma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70" t="s">
        <v>202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4" spans="1:15" ht="12.75">
      <c r="A4" s="171" t="s">
        <v>207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7" spans="1:15" ht="12.75" customHeight="1">
      <c r="A7" s="171" t="s">
        <v>204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1" spans="1:15" ht="12.75">
      <c r="A11" s="170" t="s">
        <v>203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3" spans="1:15" ht="12.75" customHeight="1">
      <c r="A13" s="171" t="s">
        <v>206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7" spans="1:15" ht="12.75" customHeight="1">
      <c r="A17" s="171" t="s">
        <v>205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ht="12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90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/>
      <c r="I22" s="41"/>
      <c r="J22" s="41"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1539100</v>
      </c>
      <c r="D23" s="41">
        <v>230197</v>
      </c>
      <c r="E23" s="41">
        <v>0</v>
      </c>
      <c r="F23" s="41">
        <v>0</v>
      </c>
      <c r="G23" s="41">
        <v>222984</v>
      </c>
      <c r="H23" s="41"/>
      <c r="I23" s="41"/>
      <c r="J23" s="41">
        <v>147443</v>
      </c>
      <c r="K23" s="42">
        <f t="shared" si="0"/>
        <v>2139724</v>
      </c>
      <c r="L23" s="41">
        <v>0</v>
      </c>
      <c r="M23" s="41">
        <v>16</v>
      </c>
      <c r="N23" s="41">
        <v>15</v>
      </c>
    </row>
    <row r="24" spans="1:14" ht="12.75">
      <c r="A24" s="39" t="s">
        <v>32</v>
      </c>
      <c r="B24" s="40">
        <v>83</v>
      </c>
      <c r="C24" s="41">
        <v>800800</v>
      </c>
      <c r="D24" s="41">
        <v>91536</v>
      </c>
      <c r="E24" s="41">
        <v>0</v>
      </c>
      <c r="F24" s="41">
        <v>0</v>
      </c>
      <c r="G24" s="41">
        <v>64742</v>
      </c>
      <c r="H24" s="41"/>
      <c r="I24" s="41"/>
      <c r="J24" s="41">
        <v>74363</v>
      </c>
      <c r="K24" s="42">
        <f t="shared" si="0"/>
        <v>1031441</v>
      </c>
      <c r="L24" s="41">
        <v>0</v>
      </c>
      <c r="M24" s="41">
        <v>8</v>
      </c>
      <c r="N24" s="41">
        <v>10</v>
      </c>
    </row>
    <row r="25" spans="1:14" ht="12.75">
      <c r="A25" s="39" t="s">
        <v>33</v>
      </c>
      <c r="B25" s="40">
        <v>84</v>
      </c>
      <c r="C25" s="41">
        <v>2272070</v>
      </c>
      <c r="D25" s="41">
        <v>320036</v>
      </c>
      <c r="E25" s="41">
        <v>0</v>
      </c>
      <c r="F25" s="41">
        <v>0</v>
      </c>
      <c r="G25" s="41">
        <v>6383</v>
      </c>
      <c r="H25" s="41"/>
      <c r="I25" s="41"/>
      <c r="J25" s="41">
        <v>158172</v>
      </c>
      <c r="K25" s="42">
        <f t="shared" si="0"/>
        <v>2756661</v>
      </c>
      <c r="L25" s="41">
        <v>72403</v>
      </c>
      <c r="M25" s="41">
        <v>25</v>
      </c>
      <c r="N25" s="41">
        <v>25</v>
      </c>
    </row>
    <row r="26" spans="1:14" ht="12.75">
      <c r="A26" s="39" t="s">
        <v>34</v>
      </c>
      <c r="B26" s="40">
        <v>85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/>
      <c r="I26" s="41"/>
      <c r="J26" s="41">
        <v>0</v>
      </c>
      <c r="K26" s="42">
        <f t="shared" si="0"/>
        <v>0</v>
      </c>
      <c r="L26" s="41">
        <v>0</v>
      </c>
      <c r="M26" s="41">
        <v>0</v>
      </c>
      <c r="N26" s="41">
        <v>2</v>
      </c>
    </row>
    <row r="27" spans="1:14" ht="12.75">
      <c r="A27" s="39" t="s">
        <v>35</v>
      </c>
      <c r="B27" s="40">
        <v>86</v>
      </c>
      <c r="C27" s="41">
        <v>446551</v>
      </c>
      <c r="D27" s="41">
        <v>52000</v>
      </c>
      <c r="E27" s="41">
        <v>0</v>
      </c>
      <c r="F27" s="41">
        <v>20000</v>
      </c>
      <c r="G27" s="41">
        <v>5382</v>
      </c>
      <c r="H27" s="41"/>
      <c r="I27" s="41"/>
      <c r="J27" s="41">
        <v>64192</v>
      </c>
      <c r="K27" s="42">
        <f t="shared" si="0"/>
        <v>588125</v>
      </c>
      <c r="L27" s="41">
        <v>0</v>
      </c>
      <c r="M27" s="41">
        <v>4</v>
      </c>
      <c r="N27" s="41">
        <v>4</v>
      </c>
    </row>
    <row r="28" spans="1:14" ht="12.75">
      <c r="A28" s="39" t="s">
        <v>36</v>
      </c>
      <c r="B28" s="40">
        <v>87</v>
      </c>
      <c r="C28" s="41">
        <v>547000</v>
      </c>
      <c r="D28" s="41">
        <v>78050</v>
      </c>
      <c r="E28" s="41">
        <v>0</v>
      </c>
      <c r="F28" s="41">
        <v>0</v>
      </c>
      <c r="G28" s="41">
        <v>59770</v>
      </c>
      <c r="H28" s="41"/>
      <c r="I28" s="41"/>
      <c r="J28" s="41">
        <v>52088</v>
      </c>
      <c r="K28" s="42">
        <f t="shared" si="0"/>
        <v>736908</v>
      </c>
      <c r="L28" s="41">
        <v>0</v>
      </c>
      <c r="M28" s="41">
        <v>4</v>
      </c>
      <c r="N28" s="41">
        <v>2</v>
      </c>
    </row>
    <row r="29" spans="1:14" ht="12.75">
      <c r="A29" s="39" t="s">
        <v>37</v>
      </c>
      <c r="B29" s="40">
        <v>88</v>
      </c>
      <c r="C29" s="41">
        <v>540700</v>
      </c>
      <c r="D29" s="41">
        <v>96200</v>
      </c>
      <c r="E29" s="41">
        <v>0</v>
      </c>
      <c r="F29" s="41">
        <v>30000</v>
      </c>
      <c r="G29" s="41">
        <v>39200</v>
      </c>
      <c r="H29" s="41"/>
      <c r="I29" s="41"/>
      <c r="J29" s="41">
        <v>53075</v>
      </c>
      <c r="K29" s="42">
        <f t="shared" si="0"/>
        <v>759175</v>
      </c>
      <c r="L29" s="41">
        <v>0</v>
      </c>
      <c r="M29" s="41">
        <v>3</v>
      </c>
      <c r="N29" s="41">
        <v>4</v>
      </c>
    </row>
    <row r="30" spans="1:14" ht="12.75">
      <c r="A30" s="39" t="s">
        <v>40</v>
      </c>
      <c r="B30" s="40">
        <v>89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/>
      <c r="I30" s="41"/>
      <c r="J30" s="41">
        <v>0</v>
      </c>
      <c r="K30" s="42">
        <f t="shared" si="0"/>
        <v>0</v>
      </c>
      <c r="L30" s="41">
        <v>0</v>
      </c>
      <c r="M30" s="41">
        <v>0</v>
      </c>
      <c r="N30" s="41">
        <v>0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6146221</v>
      </c>
      <c r="D32" s="45">
        <f aca="true" t="shared" si="1" ref="D32:J32">SUM(D12:D31)</f>
        <v>868019</v>
      </c>
      <c r="E32" s="45">
        <f t="shared" si="1"/>
        <v>0</v>
      </c>
      <c r="F32" s="45">
        <f t="shared" si="1"/>
        <v>50000</v>
      </c>
      <c r="G32" s="45">
        <f t="shared" si="1"/>
        <v>398461</v>
      </c>
      <c r="H32" s="45">
        <f t="shared" si="1"/>
        <v>0</v>
      </c>
      <c r="I32" s="45">
        <f t="shared" si="1"/>
        <v>0</v>
      </c>
      <c r="J32" s="45">
        <f t="shared" si="1"/>
        <v>549333</v>
      </c>
      <c r="K32" s="42">
        <f t="shared" si="0"/>
        <v>8012034</v>
      </c>
      <c r="L32" s="45">
        <f>SUM(L12:L31)</f>
        <v>72403</v>
      </c>
      <c r="M32" s="45">
        <f>SUM(M12:M31)</f>
        <v>60</v>
      </c>
      <c r="N32" s="45">
        <f>SUM(N12:N31)</f>
        <v>62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0</v>
      </c>
      <c r="I42" s="41"/>
      <c r="J42" s="41">
        <v>90086</v>
      </c>
      <c r="K42" s="42">
        <f t="shared" si="0"/>
        <v>1171127</v>
      </c>
      <c r="L42" s="41">
        <v>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0</v>
      </c>
      <c r="I43" s="41"/>
      <c r="J43" s="41">
        <v>201319</v>
      </c>
      <c r="K43" s="42">
        <f t="shared" si="0"/>
        <v>2617143</v>
      </c>
      <c r="L43" s="41">
        <v>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2112867</v>
      </c>
      <c r="D44" s="41">
        <v>206523</v>
      </c>
      <c r="E44" s="41">
        <v>633860</v>
      </c>
      <c r="F44" s="41">
        <v>31750</v>
      </c>
      <c r="G44" s="41">
        <v>244333</v>
      </c>
      <c r="H44" s="41">
        <v>5025</v>
      </c>
      <c r="I44" s="41"/>
      <c r="J44" s="41">
        <v>241709</v>
      </c>
      <c r="K44" s="42">
        <f t="shared" si="0"/>
        <v>3476067</v>
      </c>
      <c r="L44" s="41">
        <v>56125</v>
      </c>
      <c r="M44" s="41">
        <v>8</v>
      </c>
      <c r="N44" s="41">
        <v>9</v>
      </c>
    </row>
    <row r="45" spans="1:14" ht="12.75">
      <c r="A45" s="48" t="s">
        <v>62</v>
      </c>
      <c r="B45" s="40">
        <v>119</v>
      </c>
      <c r="C45" s="41">
        <v>8828617</v>
      </c>
      <c r="D45" s="41">
        <v>1015360</v>
      </c>
      <c r="E45" s="41">
        <v>2666056</v>
      </c>
      <c r="F45" s="41">
        <v>307292</v>
      </c>
      <c r="G45" s="41">
        <v>302252</v>
      </c>
      <c r="H45" s="41">
        <v>10050</v>
      </c>
      <c r="I45" s="41"/>
      <c r="J45" s="41">
        <v>1053044</v>
      </c>
      <c r="K45" s="42">
        <f t="shared" si="0"/>
        <v>14182671</v>
      </c>
      <c r="L45" s="41">
        <v>125826</v>
      </c>
      <c r="M45" s="41">
        <v>51</v>
      </c>
      <c r="N45" s="41">
        <v>43</v>
      </c>
    </row>
    <row r="46" spans="1:14" ht="12.75">
      <c r="A46" s="48" t="s">
        <v>63</v>
      </c>
      <c r="B46" s="40">
        <v>120</v>
      </c>
      <c r="C46" s="41">
        <v>33649404</v>
      </c>
      <c r="D46" s="41">
        <v>4707032</v>
      </c>
      <c r="E46" s="41">
        <v>5216096</v>
      </c>
      <c r="F46" s="41">
        <v>222852</v>
      </c>
      <c r="G46" s="41">
        <v>7792651</v>
      </c>
      <c r="H46" s="41">
        <v>86195</v>
      </c>
      <c r="I46" s="41"/>
      <c r="J46" s="41">
        <v>3775518</v>
      </c>
      <c r="K46" s="42">
        <f t="shared" si="0"/>
        <v>55449748</v>
      </c>
      <c r="L46" s="41">
        <v>1018431</v>
      </c>
      <c r="M46" s="41">
        <v>326</v>
      </c>
      <c r="N46" s="41">
        <v>306</v>
      </c>
    </row>
    <row r="47" spans="1:14" ht="12.75">
      <c r="A47" s="44" t="s">
        <v>74</v>
      </c>
      <c r="B47" s="45">
        <v>121</v>
      </c>
      <c r="C47" s="45">
        <f>SUM(C40:C46)</f>
        <v>46658663</v>
      </c>
      <c r="D47" s="45">
        <f aca="true" t="shared" si="3" ref="D47:J47">SUM(D40:D46)</f>
        <v>6130671</v>
      </c>
      <c r="E47" s="45">
        <f t="shared" si="3"/>
        <v>9136347</v>
      </c>
      <c r="F47" s="45">
        <f t="shared" si="3"/>
        <v>675912</v>
      </c>
      <c r="G47" s="45">
        <f t="shared" si="3"/>
        <v>8832217</v>
      </c>
      <c r="H47" s="45">
        <f t="shared" si="3"/>
        <v>101270</v>
      </c>
      <c r="I47" s="45">
        <f t="shared" si="3"/>
        <v>0</v>
      </c>
      <c r="J47" s="45">
        <f t="shared" si="3"/>
        <v>5361676</v>
      </c>
      <c r="K47" s="42">
        <f t="shared" si="0"/>
        <v>76896756</v>
      </c>
      <c r="L47" s="45">
        <f>SUM(L40:L46)</f>
        <v>1200382</v>
      </c>
      <c r="M47" s="45">
        <f>SUM(M40:M46)</f>
        <v>392</v>
      </c>
      <c r="N47" s="45">
        <f>SUM(N40:N46)</f>
        <v>365</v>
      </c>
    </row>
    <row r="48" spans="1:14" ht="12.75">
      <c r="A48" s="44" t="s">
        <v>119</v>
      </c>
      <c r="B48" s="45">
        <v>152</v>
      </c>
      <c r="C48" s="45">
        <f>C32+C39+C47</f>
        <v>52804884</v>
      </c>
      <c r="D48" s="45">
        <f aca="true" t="shared" si="4" ref="D48:J48">D32+D39+D47</f>
        <v>6998690</v>
      </c>
      <c r="E48" s="45">
        <f t="shared" si="4"/>
        <v>9136347</v>
      </c>
      <c r="F48" s="45">
        <f t="shared" si="4"/>
        <v>725912</v>
      </c>
      <c r="G48" s="45">
        <f t="shared" si="4"/>
        <v>9230678</v>
      </c>
      <c r="H48" s="45">
        <f t="shared" si="4"/>
        <v>101270</v>
      </c>
      <c r="I48" s="45">
        <f t="shared" si="4"/>
        <v>0</v>
      </c>
      <c r="J48" s="45">
        <f t="shared" si="4"/>
        <v>5911009</v>
      </c>
      <c r="K48" s="42">
        <f t="shared" si="0"/>
        <v>84908790</v>
      </c>
      <c r="L48" s="45">
        <f>L32+L39+L47</f>
        <v>1272785</v>
      </c>
      <c r="M48" s="45">
        <f>M32+M39+M47</f>
        <v>452</v>
      </c>
      <c r="N48" s="45">
        <f>N32+N39+N47</f>
        <v>427</v>
      </c>
    </row>
    <row r="49" spans="1:14" ht="12.75">
      <c r="A49" s="44" t="s">
        <v>51</v>
      </c>
      <c r="B49" s="45">
        <v>158</v>
      </c>
      <c r="C49" s="49">
        <v>406600</v>
      </c>
      <c r="D49" s="49">
        <v>85818</v>
      </c>
      <c r="E49" s="49">
        <v>0</v>
      </c>
      <c r="F49" s="49">
        <v>30000</v>
      </c>
      <c r="G49" s="49">
        <v>0</v>
      </c>
      <c r="H49" s="49">
        <v>0</v>
      </c>
      <c r="I49" s="49"/>
      <c r="J49" s="49">
        <v>41036</v>
      </c>
      <c r="K49" s="42">
        <f>SUM(C49:J49)</f>
        <v>563454</v>
      </c>
      <c r="L49" s="49">
        <v>0</v>
      </c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53211484</v>
      </c>
      <c r="D50" s="45">
        <f aca="true" t="shared" si="5" ref="D50:J50">D48+D49</f>
        <v>7084508</v>
      </c>
      <c r="E50" s="45">
        <f t="shared" si="5"/>
        <v>9136347</v>
      </c>
      <c r="F50" s="45">
        <f t="shared" si="5"/>
        <v>755912</v>
      </c>
      <c r="G50" s="45">
        <f t="shared" si="5"/>
        <v>9230678</v>
      </c>
      <c r="H50" s="45">
        <f t="shared" si="5"/>
        <v>101270</v>
      </c>
      <c r="I50" s="45">
        <f t="shared" si="5"/>
        <v>0</v>
      </c>
      <c r="J50" s="45">
        <f t="shared" si="5"/>
        <v>5952045</v>
      </c>
      <c r="K50" s="42">
        <f t="shared" si="0"/>
        <v>85472244</v>
      </c>
      <c r="L50" s="45">
        <f>L48+L49</f>
        <v>1272785</v>
      </c>
      <c r="M50" s="45">
        <f>M48+M49</f>
        <v>457</v>
      </c>
      <c r="N50" s="45">
        <f>N48+N49</f>
        <v>429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35</v>
      </c>
      <c r="B55" s="55">
        <f>IF(A55="","",VLOOKUP(A55,$A$12:$B$50,2,FALSE))</f>
        <v>86</v>
      </c>
      <c r="C55" s="55"/>
      <c r="D55" s="55"/>
      <c r="E55" s="55"/>
      <c r="F55" s="55"/>
      <c r="G55" s="55"/>
      <c r="H55" s="55"/>
      <c r="I55" s="55"/>
      <c r="J55" s="55">
        <v>34367</v>
      </c>
      <c r="K55" s="42">
        <f>SUM(C55:J55)</f>
        <v>34367</v>
      </c>
      <c r="L55" s="55">
        <v>0</v>
      </c>
      <c r="M55" s="56">
        <v>1</v>
      </c>
      <c r="N55" s="117"/>
      <c r="O55" s="43"/>
    </row>
    <row r="56" spans="1:15" ht="12.75">
      <c r="A56" s="58" t="s">
        <v>62</v>
      </c>
      <c r="B56" s="59">
        <f>IF(A56="","",VLOOKUP(A56,$A$12:$B$50,2,FALSE))</f>
        <v>119</v>
      </c>
      <c r="C56" s="59">
        <v>-42515</v>
      </c>
      <c r="D56" s="59">
        <v>0</v>
      </c>
      <c r="E56" s="59">
        <v>-12754</v>
      </c>
      <c r="F56" s="59">
        <v>0</v>
      </c>
      <c r="G56" s="59">
        <v>-27055</v>
      </c>
      <c r="H56" s="59">
        <v>0</v>
      </c>
      <c r="I56" s="59"/>
      <c r="J56" s="59">
        <v>0</v>
      </c>
      <c r="K56" s="42">
        <f>SUM(C56:J56)</f>
        <v>-82324</v>
      </c>
      <c r="L56" s="59">
        <v>0</v>
      </c>
      <c r="M56" s="60">
        <v>7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>
        <v>4233</v>
      </c>
      <c r="D57" s="59">
        <v>699</v>
      </c>
      <c r="E57" s="59">
        <v>635</v>
      </c>
      <c r="F57" s="59">
        <v>0</v>
      </c>
      <c r="G57" s="59">
        <v>17887</v>
      </c>
      <c r="H57" s="59">
        <v>0</v>
      </c>
      <c r="I57" s="59"/>
      <c r="J57" s="59">
        <v>-53745</v>
      </c>
      <c r="K57" s="42">
        <f>SUM(C57:J57)</f>
        <v>-30291</v>
      </c>
      <c r="L57" s="59">
        <v>8764</v>
      </c>
      <c r="M57" s="60">
        <v>27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7"/>
      <c r="O58" s="43"/>
    </row>
    <row r="60" spans="1:5" ht="12.75">
      <c r="A60" s="61" t="s">
        <v>21</v>
      </c>
      <c r="B60" s="174" t="s">
        <v>212</v>
      </c>
      <c r="C60" s="174"/>
      <c r="D60" s="174"/>
      <c r="E60" s="62"/>
    </row>
    <row r="61" spans="10:11" ht="12.75">
      <c r="J61" s="173" t="s">
        <v>224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7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167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579227</v>
      </c>
      <c r="D23" s="41"/>
      <c r="E23" s="41">
        <v>59964</v>
      </c>
      <c r="F23" s="41">
        <v>29250</v>
      </c>
      <c r="G23" s="41"/>
      <c r="H23" s="41"/>
      <c r="I23" s="41"/>
      <c r="J23" s="42">
        <f t="shared" si="0"/>
        <v>668441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329705</v>
      </c>
      <c r="D24" s="41"/>
      <c r="E24" s="41">
        <v>34106</v>
      </c>
      <c r="F24" s="41">
        <v>15600</v>
      </c>
      <c r="G24" s="41"/>
      <c r="H24" s="41"/>
      <c r="I24" s="41"/>
      <c r="J24" s="42">
        <f t="shared" si="0"/>
        <v>379411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908595</v>
      </c>
      <c r="D25" s="41"/>
      <c r="E25" s="41">
        <v>93928</v>
      </c>
      <c r="F25" s="41">
        <v>44655</v>
      </c>
      <c r="G25" s="41">
        <v>3320</v>
      </c>
      <c r="H25" s="41"/>
      <c r="I25" s="41"/>
      <c r="J25" s="42">
        <f t="shared" si="0"/>
        <v>1050498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160860</v>
      </c>
      <c r="D27" s="41"/>
      <c r="E27" s="41">
        <v>16613</v>
      </c>
      <c r="F27" s="41">
        <v>5850</v>
      </c>
      <c r="G27" s="41"/>
      <c r="H27" s="41"/>
      <c r="I27" s="41"/>
      <c r="J27" s="42">
        <f t="shared" si="0"/>
        <v>183323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233705</v>
      </c>
      <c r="D28" s="41"/>
      <c r="E28" s="41">
        <v>22108</v>
      </c>
      <c r="F28" s="41">
        <v>5850</v>
      </c>
      <c r="G28" s="41"/>
      <c r="H28" s="41"/>
      <c r="I28" s="41"/>
      <c r="J28" s="42">
        <f t="shared" si="0"/>
        <v>261663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220160</v>
      </c>
      <c r="D29" s="41"/>
      <c r="E29" s="41">
        <v>22794</v>
      </c>
      <c r="F29" s="41">
        <v>5850</v>
      </c>
      <c r="G29" s="41"/>
      <c r="H29" s="41"/>
      <c r="I29" s="41"/>
      <c r="J29" s="42">
        <f t="shared" si="0"/>
        <v>248804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2432252</v>
      </c>
      <c r="D32" s="45">
        <f>SUM(D12:D31)</f>
        <v>0</v>
      </c>
      <c r="E32" s="45">
        <f t="shared" si="1"/>
        <v>249513</v>
      </c>
      <c r="F32" s="45">
        <f t="shared" si="1"/>
        <v>107055</v>
      </c>
      <c r="G32" s="45">
        <f t="shared" si="1"/>
        <v>3320</v>
      </c>
      <c r="H32" s="45">
        <f t="shared" si="1"/>
        <v>0</v>
      </c>
      <c r="I32" s="45">
        <f t="shared" si="1"/>
        <v>0</v>
      </c>
      <c r="J32" s="42">
        <f t="shared" si="0"/>
        <v>2792140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339628</v>
      </c>
      <c r="D42" s="41"/>
      <c r="E42" s="41">
        <v>35133</v>
      </c>
      <c r="F42" s="41">
        <v>3900</v>
      </c>
      <c r="G42" s="41">
        <v>2776</v>
      </c>
      <c r="H42" s="41"/>
      <c r="I42" s="41"/>
      <c r="J42" s="42">
        <f t="shared" si="0"/>
        <v>381437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1292277</v>
      </c>
      <c r="D43" s="41"/>
      <c r="E43" s="41">
        <v>133683</v>
      </c>
      <c r="F43" s="41">
        <v>12824</v>
      </c>
      <c r="G43" s="41">
        <v>6940</v>
      </c>
      <c r="H43" s="41"/>
      <c r="I43" s="41"/>
      <c r="J43" s="42">
        <f t="shared" si="0"/>
        <v>1445724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1747449</v>
      </c>
      <c r="D44" s="41"/>
      <c r="E44" s="41">
        <v>180772</v>
      </c>
      <c r="F44" s="41">
        <v>22295</v>
      </c>
      <c r="G44" s="41">
        <v>15268</v>
      </c>
      <c r="H44" s="41"/>
      <c r="I44" s="41"/>
      <c r="J44" s="42">
        <f t="shared" si="0"/>
        <v>1965784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3938814</v>
      </c>
      <c r="D45" s="41"/>
      <c r="E45" s="41">
        <v>409997</v>
      </c>
      <c r="F45" s="41">
        <v>70395</v>
      </c>
      <c r="G45" s="41">
        <v>56908</v>
      </c>
      <c r="H45" s="41"/>
      <c r="I45" s="41"/>
      <c r="J45" s="42">
        <f t="shared" si="0"/>
        <v>4476114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16812907</v>
      </c>
      <c r="D46" s="41"/>
      <c r="E46" s="41">
        <v>1738097</v>
      </c>
      <c r="F46" s="41">
        <v>553177</v>
      </c>
      <c r="G46" s="41">
        <v>424794</v>
      </c>
      <c r="H46" s="41"/>
      <c r="I46" s="41"/>
      <c r="J46" s="42">
        <f t="shared" si="0"/>
        <v>19528975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24131075</v>
      </c>
      <c r="D47" s="45">
        <f>SUM(D40:D46)</f>
        <v>0</v>
      </c>
      <c r="E47" s="45">
        <f t="shared" si="3"/>
        <v>2497682</v>
      </c>
      <c r="F47" s="45">
        <f t="shared" si="3"/>
        <v>662591</v>
      </c>
      <c r="G47" s="45">
        <f t="shared" si="3"/>
        <v>506686</v>
      </c>
      <c r="H47" s="45">
        <f t="shared" si="3"/>
        <v>0</v>
      </c>
      <c r="I47" s="45">
        <f t="shared" si="3"/>
        <v>0</v>
      </c>
      <c r="J47" s="42">
        <f t="shared" si="0"/>
        <v>27798034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26563327</v>
      </c>
      <c r="D48" s="45">
        <f>D32+D39+D47</f>
        <v>0</v>
      </c>
      <c r="E48" s="45">
        <f t="shared" si="4"/>
        <v>2747195</v>
      </c>
      <c r="F48" s="45">
        <f t="shared" si="4"/>
        <v>769646</v>
      </c>
      <c r="G48" s="45">
        <f t="shared" si="4"/>
        <v>510006</v>
      </c>
      <c r="H48" s="45">
        <f t="shared" si="4"/>
        <v>0</v>
      </c>
      <c r="I48" s="45">
        <f t="shared" si="4"/>
        <v>0</v>
      </c>
      <c r="J48" s="42">
        <f t="shared" si="0"/>
        <v>30590174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163404</v>
      </c>
      <c r="D49" s="49"/>
      <c r="E49" s="49">
        <v>16905</v>
      </c>
      <c r="F49" s="49">
        <v>5606</v>
      </c>
      <c r="G49" s="49"/>
      <c r="H49" s="49"/>
      <c r="I49" s="49"/>
      <c r="J49" s="42">
        <f t="shared" si="0"/>
        <v>185915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26726731</v>
      </c>
      <c r="D50" s="45">
        <f>D48+D49</f>
        <v>0</v>
      </c>
      <c r="E50" s="45">
        <f t="shared" si="5"/>
        <v>2764100</v>
      </c>
      <c r="F50" s="45">
        <f t="shared" si="5"/>
        <v>775252</v>
      </c>
      <c r="G50" s="45">
        <f t="shared" si="5"/>
        <v>510006</v>
      </c>
      <c r="H50" s="45">
        <f t="shared" si="5"/>
        <v>0</v>
      </c>
      <c r="I50" s="45">
        <f t="shared" si="5"/>
        <v>0</v>
      </c>
      <c r="J50" s="42">
        <f t="shared" si="0"/>
        <v>30776089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39</v>
      </c>
      <c r="B55" s="55">
        <f>IF(A55="","",VLOOKUP(A55,$A$12:$B$50,2,FALSE))</f>
        <v>82</v>
      </c>
      <c r="C55" s="55">
        <v>6610</v>
      </c>
      <c r="D55" s="55"/>
      <c r="E55" s="55">
        <v>202</v>
      </c>
      <c r="F55" s="55"/>
      <c r="G55" s="55"/>
      <c r="H55" s="55"/>
      <c r="I55" s="55"/>
      <c r="J55" s="128">
        <f>SUM(C55:I55)</f>
        <v>6812</v>
      </c>
      <c r="K55" s="55">
        <v>21</v>
      </c>
      <c r="L55" s="56">
        <v>21</v>
      </c>
      <c r="M55" s="129"/>
      <c r="N55" s="112"/>
      <c r="O55" s="114"/>
      <c r="P55" s="130"/>
    </row>
    <row r="56" spans="1:16" s="46" customFormat="1" ht="12.75">
      <c r="A56" s="54" t="s">
        <v>32</v>
      </c>
      <c r="B56" s="55"/>
      <c r="C56" s="55">
        <v>30450</v>
      </c>
      <c r="D56" s="55"/>
      <c r="E56" s="55">
        <v>3150</v>
      </c>
      <c r="F56" s="55"/>
      <c r="G56" s="55"/>
      <c r="H56" s="55"/>
      <c r="I56" s="55"/>
      <c r="J56" s="128">
        <f aca="true" t="shared" si="6" ref="J56:J63">SUM(C56:I56)</f>
        <v>33600</v>
      </c>
      <c r="K56" s="55">
        <v>21</v>
      </c>
      <c r="L56" s="56">
        <v>21</v>
      </c>
      <c r="M56" s="129"/>
      <c r="N56" s="112"/>
      <c r="O56" s="114"/>
      <c r="P56" s="130"/>
    </row>
    <row r="57" spans="1:16" s="46" customFormat="1" ht="12.75">
      <c r="A57" s="54" t="s">
        <v>33</v>
      </c>
      <c r="B57" s="55"/>
      <c r="C57" s="55">
        <v>98600</v>
      </c>
      <c r="D57" s="55"/>
      <c r="E57" s="55">
        <v>10200</v>
      </c>
      <c r="F57" s="55"/>
      <c r="G57" s="55"/>
      <c r="H57" s="55"/>
      <c r="I57" s="55"/>
      <c r="J57" s="128">
        <f t="shared" si="6"/>
        <v>108800</v>
      </c>
      <c r="K57" s="55">
        <v>21</v>
      </c>
      <c r="L57" s="56">
        <v>21</v>
      </c>
      <c r="M57" s="129"/>
      <c r="N57" s="112"/>
      <c r="O57" s="114"/>
      <c r="P57" s="130"/>
    </row>
    <row r="58" spans="1:16" s="46" customFormat="1" ht="12.75">
      <c r="A58" s="54" t="s">
        <v>35</v>
      </c>
      <c r="B58" s="55"/>
      <c r="C58" s="55">
        <v>6575</v>
      </c>
      <c r="D58" s="55"/>
      <c r="E58" s="55">
        <v>680</v>
      </c>
      <c r="F58" s="55"/>
      <c r="G58" s="55"/>
      <c r="H58" s="55"/>
      <c r="I58" s="55"/>
      <c r="J58" s="128">
        <f t="shared" si="6"/>
        <v>7255</v>
      </c>
      <c r="K58" s="55">
        <v>21</v>
      </c>
      <c r="L58" s="56">
        <v>21</v>
      </c>
      <c r="M58" s="129"/>
      <c r="N58" s="112"/>
      <c r="O58" s="114"/>
      <c r="P58" s="130"/>
    </row>
    <row r="59" spans="1:16" s="46" customFormat="1" ht="12.75">
      <c r="A59" s="54" t="s">
        <v>26</v>
      </c>
      <c r="B59" s="55"/>
      <c r="C59" s="55">
        <v>533303</v>
      </c>
      <c r="D59" s="55"/>
      <c r="E59" s="55">
        <v>55169</v>
      </c>
      <c r="F59" s="55">
        <v>3074</v>
      </c>
      <c r="G59" s="55"/>
      <c r="H59" s="55"/>
      <c r="I59" s="55"/>
      <c r="J59" s="128">
        <f t="shared" si="6"/>
        <v>591546</v>
      </c>
      <c r="K59" s="55">
        <v>21</v>
      </c>
      <c r="L59" s="56">
        <v>21</v>
      </c>
      <c r="M59" s="129"/>
      <c r="N59" s="112"/>
      <c r="O59" s="114"/>
      <c r="P59" s="130"/>
    </row>
    <row r="60" spans="1:16" s="46" customFormat="1" ht="12.75">
      <c r="A60" s="54" t="s">
        <v>61</v>
      </c>
      <c r="B60" s="55"/>
      <c r="C60" s="55">
        <v>198991</v>
      </c>
      <c r="D60" s="55"/>
      <c r="E60" s="55">
        <v>20585</v>
      </c>
      <c r="F60" s="55">
        <v>1370</v>
      </c>
      <c r="G60" s="55"/>
      <c r="H60" s="55"/>
      <c r="I60" s="55"/>
      <c r="J60" s="128">
        <f t="shared" si="6"/>
        <v>220946</v>
      </c>
      <c r="K60" s="55">
        <v>21</v>
      </c>
      <c r="L60" s="56">
        <v>21</v>
      </c>
      <c r="M60" s="129"/>
      <c r="N60" s="112"/>
      <c r="O60" s="114"/>
      <c r="P60" s="130"/>
    </row>
    <row r="61" spans="1:16" s="46" customFormat="1" ht="12.75">
      <c r="A61" s="54" t="s">
        <v>62</v>
      </c>
      <c r="B61" s="55"/>
      <c r="C61" s="55">
        <v>30550</v>
      </c>
      <c r="D61" s="55"/>
      <c r="E61" s="55">
        <v>5630</v>
      </c>
      <c r="F61" s="55"/>
      <c r="G61" s="55"/>
      <c r="H61" s="55"/>
      <c r="I61" s="55"/>
      <c r="J61" s="128">
        <f t="shared" si="6"/>
        <v>36180</v>
      </c>
      <c r="K61" s="55">
        <v>21</v>
      </c>
      <c r="L61" s="56">
        <v>21</v>
      </c>
      <c r="M61" s="129"/>
      <c r="N61" s="112"/>
      <c r="O61" s="114"/>
      <c r="P61" s="130"/>
    </row>
    <row r="62" spans="1:16" s="46" customFormat="1" ht="12.75">
      <c r="A62" s="58" t="s">
        <v>63</v>
      </c>
      <c r="B62" s="59">
        <f>IF(A62="","",VLOOKUP(A62,$A$12:$B$50,2,FALSE))</f>
        <v>120</v>
      </c>
      <c r="C62" s="59">
        <v>395127</v>
      </c>
      <c r="D62" s="59"/>
      <c r="E62" s="59">
        <v>42068</v>
      </c>
      <c r="F62" s="59">
        <v>417</v>
      </c>
      <c r="G62" s="59"/>
      <c r="H62" s="59"/>
      <c r="I62" s="59"/>
      <c r="J62" s="128">
        <f t="shared" si="6"/>
        <v>437612</v>
      </c>
      <c r="K62" s="59">
        <v>21</v>
      </c>
      <c r="L62" s="60">
        <v>21</v>
      </c>
      <c r="M62" s="129"/>
      <c r="N62" s="112"/>
      <c r="O62" s="114"/>
      <c r="P62" s="130"/>
    </row>
    <row r="63" spans="1:16" s="46" customFormat="1" ht="12.75">
      <c r="A63" s="58"/>
      <c r="B63" s="59">
        <f>IF(A63="","",VLOOKUP(A63,$A$12:$B$50,2,FALSE))</f>
      </c>
      <c r="C63" s="59"/>
      <c r="D63" s="59"/>
      <c r="E63" s="59"/>
      <c r="F63" s="59"/>
      <c r="G63" s="59"/>
      <c r="H63" s="59"/>
      <c r="I63" s="59"/>
      <c r="J63" s="128">
        <f t="shared" si="6"/>
        <v>0</v>
      </c>
      <c r="K63" s="59"/>
      <c r="L63" s="60"/>
      <c r="M63" s="129"/>
      <c r="N63" s="112"/>
      <c r="O63" s="114"/>
      <c r="P63" s="130"/>
    </row>
    <row r="65" spans="1:6" ht="12.75">
      <c r="A65" s="61" t="s">
        <v>21</v>
      </c>
      <c r="B65" s="174" t="s">
        <v>223</v>
      </c>
      <c r="C65" s="174"/>
      <c r="D65" s="174"/>
      <c r="E65" s="174"/>
      <c r="F65" s="62"/>
    </row>
    <row r="66" spans="8:9" ht="12.75">
      <c r="H66" s="173" t="s">
        <v>224</v>
      </c>
      <c r="I66" s="173"/>
    </row>
    <row r="67" spans="8:9" ht="12.75">
      <c r="H67" s="172" t="s">
        <v>48</v>
      </c>
      <c r="I67" s="172"/>
    </row>
  </sheetData>
  <sheetProtection/>
  <mergeCells count="10">
    <mergeCell ref="B65:E65"/>
    <mergeCell ref="H66:I66"/>
    <mergeCell ref="H67:I67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63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9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91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/>
      <c r="I22" s="41"/>
      <c r="J22" s="41"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1462442</v>
      </c>
      <c r="D23" s="41">
        <v>214441</v>
      </c>
      <c r="E23" s="41">
        <v>0</v>
      </c>
      <c r="F23" s="41">
        <v>0</v>
      </c>
      <c r="G23" s="41">
        <v>258616</v>
      </c>
      <c r="H23" s="41"/>
      <c r="I23" s="41"/>
      <c r="J23" s="41">
        <v>152855</v>
      </c>
      <c r="K23" s="42">
        <f t="shared" si="0"/>
        <v>2088354</v>
      </c>
      <c r="L23" s="41">
        <v>94796</v>
      </c>
      <c r="M23" s="41">
        <v>19</v>
      </c>
      <c r="N23" s="41">
        <v>14</v>
      </c>
    </row>
    <row r="24" spans="1:14" ht="12.75">
      <c r="A24" s="39" t="s">
        <v>32</v>
      </c>
      <c r="B24" s="40">
        <v>83</v>
      </c>
      <c r="C24" s="41">
        <v>875201</v>
      </c>
      <c r="D24" s="41">
        <v>99813</v>
      </c>
      <c r="E24" s="41">
        <v>0</v>
      </c>
      <c r="F24" s="41">
        <v>0</v>
      </c>
      <c r="G24" s="41">
        <v>69103</v>
      </c>
      <c r="H24" s="41"/>
      <c r="I24" s="41"/>
      <c r="J24" s="41">
        <v>74363</v>
      </c>
      <c r="K24" s="42">
        <f t="shared" si="0"/>
        <v>1118480</v>
      </c>
      <c r="L24" s="41">
        <v>24317</v>
      </c>
      <c r="M24" s="41">
        <v>9</v>
      </c>
      <c r="N24" s="41">
        <v>10</v>
      </c>
    </row>
    <row r="25" spans="1:14" ht="12.75">
      <c r="A25" s="39" t="s">
        <v>33</v>
      </c>
      <c r="B25" s="40">
        <v>84</v>
      </c>
      <c r="C25" s="41">
        <v>2311489</v>
      </c>
      <c r="D25" s="41">
        <v>330169</v>
      </c>
      <c r="E25" s="41">
        <v>0</v>
      </c>
      <c r="F25" s="41">
        <v>0</v>
      </c>
      <c r="G25" s="41">
        <v>7447</v>
      </c>
      <c r="H25" s="41"/>
      <c r="I25" s="41"/>
      <c r="J25" s="41">
        <v>198821</v>
      </c>
      <c r="K25" s="42">
        <f t="shared" si="0"/>
        <v>2847926</v>
      </c>
      <c r="L25" s="41">
        <v>72803</v>
      </c>
      <c r="M25" s="41">
        <v>24</v>
      </c>
      <c r="N25" s="41">
        <v>25</v>
      </c>
    </row>
    <row r="26" spans="1:14" ht="12.75">
      <c r="A26" s="39" t="s">
        <v>34</v>
      </c>
      <c r="B26" s="40">
        <v>85</v>
      </c>
      <c r="C26" s="41">
        <v>136066</v>
      </c>
      <c r="D26" s="41">
        <v>13628</v>
      </c>
      <c r="E26" s="41">
        <v>0</v>
      </c>
      <c r="F26" s="41">
        <v>0</v>
      </c>
      <c r="G26" s="41">
        <v>0</v>
      </c>
      <c r="H26" s="41"/>
      <c r="I26" s="41"/>
      <c r="J26" s="41">
        <v>0</v>
      </c>
      <c r="K26" s="42">
        <f t="shared" si="0"/>
        <v>149694</v>
      </c>
      <c r="L26" s="41">
        <v>0</v>
      </c>
      <c r="M26" s="41">
        <v>1</v>
      </c>
      <c r="N26" s="41">
        <v>2</v>
      </c>
    </row>
    <row r="27" spans="1:14" ht="12.75">
      <c r="A27" s="39" t="s">
        <v>35</v>
      </c>
      <c r="B27" s="40">
        <v>86</v>
      </c>
      <c r="C27" s="41">
        <v>440100</v>
      </c>
      <c r="D27" s="41">
        <v>52000</v>
      </c>
      <c r="E27" s="41">
        <v>0</v>
      </c>
      <c r="F27" s="41">
        <v>20000</v>
      </c>
      <c r="G27" s="41">
        <v>0</v>
      </c>
      <c r="H27" s="41"/>
      <c r="I27" s="41"/>
      <c r="J27" s="41">
        <v>29825</v>
      </c>
      <c r="K27" s="42">
        <f t="shared" si="0"/>
        <v>541925</v>
      </c>
      <c r="L27" s="41">
        <v>0</v>
      </c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518333</v>
      </c>
      <c r="D28" s="41">
        <v>74202</v>
      </c>
      <c r="E28" s="41">
        <v>0</v>
      </c>
      <c r="F28" s="41">
        <v>0</v>
      </c>
      <c r="G28" s="41">
        <v>56223</v>
      </c>
      <c r="H28" s="41"/>
      <c r="I28" s="41"/>
      <c r="J28" s="41">
        <v>52088</v>
      </c>
      <c r="K28" s="42">
        <f t="shared" si="0"/>
        <v>700846</v>
      </c>
      <c r="L28" s="41">
        <v>0</v>
      </c>
      <c r="M28" s="41">
        <v>3</v>
      </c>
      <c r="N28" s="41">
        <v>2</v>
      </c>
    </row>
    <row r="29" spans="1:14" ht="12.75">
      <c r="A29" s="39" t="s">
        <v>37</v>
      </c>
      <c r="B29" s="40">
        <v>88</v>
      </c>
      <c r="C29" s="41">
        <v>540700</v>
      </c>
      <c r="D29" s="41">
        <v>96200</v>
      </c>
      <c r="E29" s="41">
        <v>0</v>
      </c>
      <c r="F29" s="41">
        <v>30000</v>
      </c>
      <c r="G29" s="41">
        <v>39200</v>
      </c>
      <c r="H29" s="41"/>
      <c r="I29" s="41"/>
      <c r="J29" s="41">
        <v>53075</v>
      </c>
      <c r="K29" s="42">
        <f t="shared" si="0"/>
        <v>759175</v>
      </c>
      <c r="L29" s="41">
        <v>0</v>
      </c>
      <c r="M29" s="41">
        <v>3</v>
      </c>
      <c r="N29" s="41">
        <v>3</v>
      </c>
    </row>
    <row r="30" spans="1:14" ht="12.75">
      <c r="A30" s="39" t="s">
        <v>40</v>
      </c>
      <c r="B30" s="40">
        <v>89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/>
      <c r="I30" s="41"/>
      <c r="J30" s="41">
        <v>0</v>
      </c>
      <c r="K30" s="42">
        <f t="shared" si="0"/>
        <v>0</v>
      </c>
      <c r="L30" s="41">
        <v>0</v>
      </c>
      <c r="M30" s="41">
        <v>0</v>
      </c>
      <c r="N30" s="41">
        <v>0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6284331</v>
      </c>
      <c r="D32" s="45">
        <f aca="true" t="shared" si="1" ref="D32:J32">SUM(D12:D31)</f>
        <v>880453</v>
      </c>
      <c r="E32" s="45">
        <f t="shared" si="1"/>
        <v>0</v>
      </c>
      <c r="F32" s="45">
        <f t="shared" si="1"/>
        <v>50000</v>
      </c>
      <c r="G32" s="45">
        <f t="shared" si="1"/>
        <v>430589</v>
      </c>
      <c r="H32" s="45">
        <f t="shared" si="1"/>
        <v>0</v>
      </c>
      <c r="I32" s="45">
        <f t="shared" si="1"/>
        <v>0</v>
      </c>
      <c r="J32" s="45">
        <f t="shared" si="1"/>
        <v>561027</v>
      </c>
      <c r="K32" s="42">
        <f t="shared" si="0"/>
        <v>8206400</v>
      </c>
      <c r="L32" s="45">
        <f>SUM(L12:L31)</f>
        <v>191916</v>
      </c>
      <c r="M32" s="45">
        <f>SUM(M12:M31)</f>
        <v>62</v>
      </c>
      <c r="N32" s="45">
        <f>SUM(N12:N31)</f>
        <v>60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0</v>
      </c>
      <c r="I42" s="41"/>
      <c r="J42" s="41">
        <v>90086</v>
      </c>
      <c r="K42" s="42">
        <f t="shared" si="0"/>
        <v>1171127</v>
      </c>
      <c r="L42" s="41">
        <v>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15075</v>
      </c>
      <c r="I43" s="41"/>
      <c r="J43" s="41">
        <v>201319</v>
      </c>
      <c r="K43" s="42">
        <f t="shared" si="0"/>
        <v>2632218</v>
      </c>
      <c r="L43" s="41">
        <v>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1893850</v>
      </c>
      <c r="D44" s="41">
        <v>189002</v>
      </c>
      <c r="E44" s="41">
        <v>568155</v>
      </c>
      <c r="F44" s="41">
        <v>27056</v>
      </c>
      <c r="G44" s="41">
        <v>222431</v>
      </c>
      <c r="H44" s="41">
        <v>5025</v>
      </c>
      <c r="I44" s="41"/>
      <c r="J44" s="41">
        <v>141776</v>
      </c>
      <c r="K44" s="42">
        <f t="shared" si="0"/>
        <v>3047295</v>
      </c>
      <c r="L44" s="41">
        <v>56125</v>
      </c>
      <c r="M44" s="41">
        <v>9</v>
      </c>
      <c r="N44" s="41">
        <v>9</v>
      </c>
    </row>
    <row r="45" spans="1:14" ht="12.75">
      <c r="A45" s="48" t="s">
        <v>62</v>
      </c>
      <c r="B45" s="40">
        <v>119</v>
      </c>
      <c r="C45" s="41">
        <v>8972600</v>
      </c>
      <c r="D45" s="41">
        <v>1053232</v>
      </c>
      <c r="E45" s="41">
        <v>2691794</v>
      </c>
      <c r="F45" s="41">
        <v>307270</v>
      </c>
      <c r="G45" s="41">
        <v>322484</v>
      </c>
      <c r="H45" s="41">
        <v>15075</v>
      </c>
      <c r="I45" s="41"/>
      <c r="J45" s="41">
        <v>1053329</v>
      </c>
      <c r="K45" s="42">
        <f t="shared" si="0"/>
        <v>14415784</v>
      </c>
      <c r="L45" s="41">
        <v>263304</v>
      </c>
      <c r="M45" s="41">
        <v>44</v>
      </c>
      <c r="N45" s="41">
        <v>45</v>
      </c>
    </row>
    <row r="46" spans="1:14" ht="12.75">
      <c r="A46" s="48" t="s">
        <v>63</v>
      </c>
      <c r="B46" s="40">
        <v>120</v>
      </c>
      <c r="C46" s="41">
        <v>33972215</v>
      </c>
      <c r="D46" s="41">
        <v>4770284</v>
      </c>
      <c r="E46" s="41">
        <v>5254396</v>
      </c>
      <c r="F46" s="41">
        <v>199049</v>
      </c>
      <c r="G46" s="41">
        <v>6985419</v>
      </c>
      <c r="H46" s="41">
        <v>83875</v>
      </c>
      <c r="I46" s="41"/>
      <c r="J46" s="41">
        <v>3781223</v>
      </c>
      <c r="K46" s="42">
        <f t="shared" si="0"/>
        <v>55046461</v>
      </c>
      <c r="L46" s="41">
        <v>2700586</v>
      </c>
      <c r="M46" s="41">
        <v>310</v>
      </c>
      <c r="N46" s="41">
        <v>313</v>
      </c>
    </row>
    <row r="47" spans="1:14" ht="12.75">
      <c r="A47" s="44" t="s">
        <v>74</v>
      </c>
      <c r="B47" s="45">
        <v>121</v>
      </c>
      <c r="C47" s="45">
        <f>SUM(C40:C46)</f>
        <v>46906440</v>
      </c>
      <c r="D47" s="45">
        <f aca="true" t="shared" si="3" ref="D47:J47">SUM(D40:D46)</f>
        <v>6214274</v>
      </c>
      <c r="E47" s="45">
        <f t="shared" si="3"/>
        <v>9134680</v>
      </c>
      <c r="F47" s="45">
        <f t="shared" si="3"/>
        <v>647393</v>
      </c>
      <c r="G47" s="45">
        <f t="shared" si="3"/>
        <v>8023315</v>
      </c>
      <c r="H47" s="45">
        <f t="shared" si="3"/>
        <v>119050</v>
      </c>
      <c r="I47" s="45">
        <f t="shared" si="3"/>
        <v>0</v>
      </c>
      <c r="J47" s="45">
        <f t="shared" si="3"/>
        <v>5267733</v>
      </c>
      <c r="K47" s="42">
        <f t="shared" si="0"/>
        <v>76312885</v>
      </c>
      <c r="L47" s="45">
        <f>SUM(L40:L46)</f>
        <v>3020015</v>
      </c>
      <c r="M47" s="45">
        <f>SUM(M40:M46)</f>
        <v>370</v>
      </c>
      <c r="N47" s="45">
        <f>SUM(N40:N46)</f>
        <v>374</v>
      </c>
    </row>
    <row r="48" spans="1:14" ht="12.75">
      <c r="A48" s="44" t="s">
        <v>119</v>
      </c>
      <c r="B48" s="45">
        <v>152</v>
      </c>
      <c r="C48" s="45">
        <f>C32+C39+C47</f>
        <v>53190771</v>
      </c>
      <c r="D48" s="45">
        <f aca="true" t="shared" si="4" ref="D48:J48">D32+D39+D47</f>
        <v>7094727</v>
      </c>
      <c r="E48" s="45">
        <f t="shared" si="4"/>
        <v>9134680</v>
      </c>
      <c r="F48" s="45">
        <f t="shared" si="4"/>
        <v>697393</v>
      </c>
      <c r="G48" s="45">
        <f t="shared" si="4"/>
        <v>8453904</v>
      </c>
      <c r="H48" s="45">
        <f t="shared" si="4"/>
        <v>119050</v>
      </c>
      <c r="I48" s="45">
        <f t="shared" si="4"/>
        <v>0</v>
      </c>
      <c r="J48" s="45">
        <f t="shared" si="4"/>
        <v>5828760</v>
      </c>
      <c r="K48" s="42">
        <f t="shared" si="0"/>
        <v>84519285</v>
      </c>
      <c r="L48" s="45">
        <f>L32+L39+L47</f>
        <v>3211931</v>
      </c>
      <c r="M48" s="45">
        <f>M32+M39+M47</f>
        <v>432</v>
      </c>
      <c r="N48" s="45">
        <f>N32+N39+N47</f>
        <v>434</v>
      </c>
    </row>
    <row r="49" spans="1:14" ht="12.75">
      <c r="A49" s="44" t="s">
        <v>51</v>
      </c>
      <c r="B49" s="45">
        <v>158</v>
      </c>
      <c r="C49" s="49">
        <v>406600</v>
      </c>
      <c r="D49" s="49">
        <v>93644</v>
      </c>
      <c r="E49" s="49">
        <v>0</v>
      </c>
      <c r="F49" s="49">
        <v>22174</v>
      </c>
      <c r="G49" s="49">
        <v>0</v>
      </c>
      <c r="H49" s="49">
        <v>0</v>
      </c>
      <c r="I49" s="49"/>
      <c r="J49" s="49">
        <v>41688</v>
      </c>
      <c r="K49" s="42">
        <f t="shared" si="0"/>
        <v>564106</v>
      </c>
      <c r="L49" s="49">
        <v>0</v>
      </c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53597371</v>
      </c>
      <c r="D50" s="45">
        <f aca="true" t="shared" si="5" ref="D50:J50">D48+D49</f>
        <v>7188371</v>
      </c>
      <c r="E50" s="45">
        <f t="shared" si="5"/>
        <v>9134680</v>
      </c>
      <c r="F50" s="45">
        <f t="shared" si="5"/>
        <v>719567</v>
      </c>
      <c r="G50" s="45">
        <f t="shared" si="5"/>
        <v>8453904</v>
      </c>
      <c r="H50" s="45">
        <f t="shared" si="5"/>
        <v>119050</v>
      </c>
      <c r="I50" s="45">
        <f t="shared" si="5"/>
        <v>0</v>
      </c>
      <c r="J50" s="45">
        <f t="shared" si="5"/>
        <v>5870448</v>
      </c>
      <c r="K50" s="42">
        <f t="shared" si="0"/>
        <v>85083391</v>
      </c>
      <c r="L50" s="45">
        <f>L48+L49</f>
        <v>3211931</v>
      </c>
      <c r="M50" s="45">
        <f>M48+M49</f>
        <v>437</v>
      </c>
      <c r="N50" s="45">
        <f>N48+N49</f>
        <v>436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39</v>
      </c>
      <c r="B55" s="55">
        <f>IF(A55="","",VLOOKUP(A55,$A$12:$B$50,2,FALSE))</f>
        <v>82</v>
      </c>
      <c r="C55" s="55"/>
      <c r="D55" s="55"/>
      <c r="E55" s="55"/>
      <c r="F55" s="55"/>
      <c r="G55" s="55">
        <v>47279</v>
      </c>
      <c r="H55" s="55"/>
      <c r="I55" s="55"/>
      <c r="J55" s="55"/>
      <c r="K55" s="42">
        <f>SUM(C55:J55)</f>
        <v>47279</v>
      </c>
      <c r="L55" s="55">
        <v>8270</v>
      </c>
      <c r="M55" s="56">
        <v>3</v>
      </c>
      <c r="N55" s="117"/>
      <c r="O55" s="43"/>
    </row>
    <row r="56" spans="1:15" ht="12.75">
      <c r="A56" s="58" t="s">
        <v>61</v>
      </c>
      <c r="B56" s="59">
        <f>IF(A56="","",VLOOKUP(A56,$A$12:$B$50,2,FALSE))</f>
        <v>75</v>
      </c>
      <c r="C56" s="59"/>
      <c r="D56" s="59"/>
      <c r="E56" s="59"/>
      <c r="F56" s="59"/>
      <c r="G56" s="59"/>
      <c r="H56" s="59"/>
      <c r="I56" s="59"/>
      <c r="J56" s="59">
        <v>-99933</v>
      </c>
      <c r="K56" s="42">
        <f>SUM(C56:J56)</f>
        <v>-99933</v>
      </c>
      <c r="L56" s="59"/>
      <c r="M56" s="60">
        <v>1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>
        <v>3865</v>
      </c>
      <c r="D57" s="59">
        <v>639</v>
      </c>
      <c r="E57" s="59">
        <v>580</v>
      </c>
      <c r="F57" s="59">
        <v>0</v>
      </c>
      <c r="G57" s="59">
        <v>7871</v>
      </c>
      <c r="H57" s="59">
        <v>19325</v>
      </c>
      <c r="I57" s="59"/>
      <c r="J57" s="59">
        <v>-7827</v>
      </c>
      <c r="K57" s="42">
        <f>SUM(C57:J57)</f>
        <v>24453</v>
      </c>
      <c r="L57" s="59">
        <v>28149</v>
      </c>
      <c r="M57" s="60">
        <v>5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7"/>
      <c r="O58" s="43"/>
    </row>
    <row r="60" spans="1:5" ht="12.75">
      <c r="A60" s="61" t="s">
        <v>21</v>
      </c>
      <c r="B60" s="174" t="s">
        <v>212</v>
      </c>
      <c r="C60" s="174"/>
      <c r="D60" s="174"/>
      <c r="E60" s="62"/>
    </row>
    <row r="61" spans="10:11" ht="12.75">
      <c r="J61" s="173" t="s">
        <v>222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168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615810</v>
      </c>
      <c r="D23" s="41"/>
      <c r="E23" s="41">
        <v>67221</v>
      </c>
      <c r="F23" s="41">
        <v>30225</v>
      </c>
      <c r="G23" s="41"/>
      <c r="H23" s="41"/>
      <c r="I23" s="41"/>
      <c r="J23" s="42">
        <f t="shared" si="0"/>
        <v>713256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305091</v>
      </c>
      <c r="D24" s="41"/>
      <c r="E24" s="41">
        <v>31560</v>
      </c>
      <c r="F24" s="41">
        <v>15600</v>
      </c>
      <c r="G24" s="41"/>
      <c r="H24" s="41"/>
      <c r="I24" s="41"/>
      <c r="J24" s="42">
        <f t="shared" si="0"/>
        <v>352251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826531</v>
      </c>
      <c r="D25" s="41"/>
      <c r="E25" s="41">
        <v>85504</v>
      </c>
      <c r="F25" s="41">
        <v>44850</v>
      </c>
      <c r="G25" s="41"/>
      <c r="H25" s="41"/>
      <c r="I25" s="41"/>
      <c r="J25" s="42">
        <f t="shared" si="0"/>
        <v>956885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200571</v>
      </c>
      <c r="D27" s="41"/>
      <c r="E27" s="41">
        <v>20749</v>
      </c>
      <c r="F27" s="41">
        <v>8255</v>
      </c>
      <c r="G27" s="41"/>
      <c r="H27" s="41"/>
      <c r="I27" s="41"/>
      <c r="J27" s="42">
        <f t="shared" si="0"/>
        <v>229575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210789</v>
      </c>
      <c r="D28" s="41"/>
      <c r="E28" s="41">
        <v>21807</v>
      </c>
      <c r="F28" s="41">
        <v>5850</v>
      </c>
      <c r="G28" s="41"/>
      <c r="H28" s="41"/>
      <c r="I28" s="41"/>
      <c r="J28" s="42">
        <f t="shared" si="0"/>
        <v>238446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220160</v>
      </c>
      <c r="D29" s="41"/>
      <c r="E29" s="41">
        <v>22777</v>
      </c>
      <c r="F29" s="41">
        <v>5850</v>
      </c>
      <c r="G29" s="41"/>
      <c r="H29" s="41"/>
      <c r="I29" s="41"/>
      <c r="J29" s="42">
        <f t="shared" si="0"/>
        <v>248787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2378952</v>
      </c>
      <c r="D32" s="45">
        <f>SUM(D12:D31)</f>
        <v>0</v>
      </c>
      <c r="E32" s="45">
        <f t="shared" si="1"/>
        <v>249618</v>
      </c>
      <c r="F32" s="45">
        <f t="shared" si="1"/>
        <v>110630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2739200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339628</v>
      </c>
      <c r="D42" s="41"/>
      <c r="E42" s="41">
        <v>35133</v>
      </c>
      <c r="F42" s="41">
        <v>3900</v>
      </c>
      <c r="G42" s="41">
        <v>2696</v>
      </c>
      <c r="H42" s="41"/>
      <c r="I42" s="41"/>
      <c r="J42" s="42">
        <f t="shared" si="0"/>
        <v>381357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763345</v>
      </c>
      <c r="D43" s="41"/>
      <c r="E43" s="41">
        <v>78967</v>
      </c>
      <c r="F43" s="41">
        <v>9750</v>
      </c>
      <c r="G43" s="41">
        <v>6740</v>
      </c>
      <c r="H43" s="41"/>
      <c r="I43" s="41"/>
      <c r="J43" s="42">
        <f t="shared" si="0"/>
        <v>858802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1309343</v>
      </c>
      <c r="D44" s="41"/>
      <c r="E44" s="41">
        <v>133479</v>
      </c>
      <c r="F44" s="41">
        <v>21125</v>
      </c>
      <c r="G44" s="41">
        <v>14828</v>
      </c>
      <c r="H44" s="41"/>
      <c r="I44" s="41"/>
      <c r="J44" s="42">
        <f t="shared" si="0"/>
        <v>1478775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3830521</v>
      </c>
      <c r="D45" s="41"/>
      <c r="E45" s="41">
        <v>396262</v>
      </c>
      <c r="F45" s="41">
        <v>71370</v>
      </c>
      <c r="G45" s="41">
        <v>56616</v>
      </c>
      <c r="H45" s="41"/>
      <c r="I45" s="41"/>
      <c r="J45" s="42">
        <f t="shared" si="0"/>
        <v>4354769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16661145</v>
      </c>
      <c r="D46" s="41"/>
      <c r="E46" s="41">
        <v>1717277</v>
      </c>
      <c r="F46" s="41">
        <v>563855</v>
      </c>
      <c r="G46" s="41">
        <v>422056</v>
      </c>
      <c r="H46" s="41"/>
      <c r="I46" s="41"/>
      <c r="J46" s="42">
        <f t="shared" si="0"/>
        <v>19364333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22903982</v>
      </c>
      <c r="D47" s="45">
        <f>SUM(D40:D46)</f>
        <v>0</v>
      </c>
      <c r="E47" s="45">
        <f t="shared" si="3"/>
        <v>2361118</v>
      </c>
      <c r="F47" s="45">
        <f t="shared" si="3"/>
        <v>670000</v>
      </c>
      <c r="G47" s="45">
        <f t="shared" si="3"/>
        <v>502936</v>
      </c>
      <c r="H47" s="45">
        <f t="shared" si="3"/>
        <v>0</v>
      </c>
      <c r="I47" s="45">
        <f t="shared" si="3"/>
        <v>0</v>
      </c>
      <c r="J47" s="42">
        <f t="shared" si="0"/>
        <v>26438036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25282934</v>
      </c>
      <c r="D48" s="45">
        <f>D32+D39+D47</f>
        <v>0</v>
      </c>
      <c r="E48" s="45">
        <f t="shared" si="4"/>
        <v>2610736</v>
      </c>
      <c r="F48" s="45">
        <f t="shared" si="4"/>
        <v>780630</v>
      </c>
      <c r="G48" s="45">
        <f t="shared" si="4"/>
        <v>502936</v>
      </c>
      <c r="H48" s="45">
        <f t="shared" si="4"/>
        <v>0</v>
      </c>
      <c r="I48" s="45">
        <f t="shared" si="4"/>
        <v>0</v>
      </c>
      <c r="J48" s="42">
        <f t="shared" si="0"/>
        <v>29177236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147412</v>
      </c>
      <c r="D49" s="49"/>
      <c r="E49" s="49">
        <v>15251</v>
      </c>
      <c r="F49" s="49">
        <v>4631</v>
      </c>
      <c r="G49" s="49"/>
      <c r="H49" s="49"/>
      <c r="I49" s="49"/>
      <c r="J49" s="42">
        <f t="shared" si="0"/>
        <v>167294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25430346</v>
      </c>
      <c r="D50" s="45">
        <f>D48+D49</f>
        <v>0</v>
      </c>
      <c r="E50" s="45">
        <f t="shared" si="5"/>
        <v>2625987</v>
      </c>
      <c r="F50" s="45">
        <f t="shared" si="5"/>
        <v>785261</v>
      </c>
      <c r="G50" s="45">
        <f t="shared" si="5"/>
        <v>502936</v>
      </c>
      <c r="H50" s="45">
        <f t="shared" si="5"/>
        <v>0</v>
      </c>
      <c r="I50" s="45">
        <f t="shared" si="5"/>
        <v>0</v>
      </c>
      <c r="J50" s="42">
        <f t="shared" si="0"/>
        <v>29344530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39</v>
      </c>
      <c r="B55" s="55">
        <f>IF(A55="","",VLOOKUP(A55,$A$12:$B$50,2,FALSE))</f>
        <v>82</v>
      </c>
      <c r="C55" s="55">
        <v>16110</v>
      </c>
      <c r="D55" s="55"/>
      <c r="E55" s="55">
        <v>1666</v>
      </c>
      <c r="F55" s="55"/>
      <c r="G55" s="55"/>
      <c r="H55" s="55"/>
      <c r="I55" s="55"/>
      <c r="J55" s="128">
        <f>SUM(C55:I55)</f>
        <v>17776</v>
      </c>
      <c r="K55" s="55">
        <v>22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9">
        <v>-142183</v>
      </c>
      <c r="D56" s="59"/>
      <c r="E56" s="59">
        <v>-16681</v>
      </c>
      <c r="F56" s="59"/>
      <c r="G56" s="59"/>
      <c r="H56" s="59"/>
      <c r="I56" s="59"/>
      <c r="J56" s="128">
        <f>SUM(C56:I56)</f>
        <v>-158864</v>
      </c>
      <c r="K56" s="59">
        <v>22</v>
      </c>
      <c r="L56" s="60">
        <v>22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24684</v>
      </c>
      <c r="D57" s="59"/>
      <c r="E57" s="59">
        <v>2842</v>
      </c>
      <c r="F57" s="59"/>
      <c r="G57" s="59"/>
      <c r="H57" s="59"/>
      <c r="I57" s="59"/>
      <c r="J57" s="128">
        <f>SUM(C57:I57)</f>
        <v>27526</v>
      </c>
      <c r="K57" s="59">
        <v>22</v>
      </c>
      <c r="L57" s="60">
        <v>22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225</v>
      </c>
      <c r="C60" s="174"/>
      <c r="D60" s="174"/>
      <c r="E60" s="174"/>
      <c r="F60" s="62"/>
    </row>
    <row r="61" spans="8:9" ht="12.75">
      <c r="H61" s="173" t="s">
        <v>222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5" ySplit="19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92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/>
      <c r="F22" s="41">
        <v>0</v>
      </c>
      <c r="G22" s="41">
        <v>0</v>
      </c>
      <c r="H22" s="41"/>
      <c r="I22" s="41"/>
      <c r="J22" s="41"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1442209</v>
      </c>
      <c r="D23" s="41">
        <v>208898</v>
      </c>
      <c r="E23" s="41"/>
      <c r="F23" s="41">
        <v>0</v>
      </c>
      <c r="G23" s="41">
        <v>179903</v>
      </c>
      <c r="H23" s="41"/>
      <c r="I23" s="41"/>
      <c r="J23" s="41">
        <v>137001</v>
      </c>
      <c r="K23" s="42">
        <f t="shared" si="0"/>
        <v>1968011</v>
      </c>
      <c r="L23" s="41">
        <v>0</v>
      </c>
      <c r="M23" s="41">
        <v>15</v>
      </c>
      <c r="N23" s="41">
        <v>14</v>
      </c>
    </row>
    <row r="24" spans="1:14" ht="12.75">
      <c r="A24" s="39" t="s">
        <v>32</v>
      </c>
      <c r="B24" s="40">
        <v>83</v>
      </c>
      <c r="C24" s="41">
        <v>898213</v>
      </c>
      <c r="D24" s="41">
        <v>101170</v>
      </c>
      <c r="E24" s="41"/>
      <c r="F24" s="41">
        <v>0</v>
      </c>
      <c r="G24" s="41">
        <v>69104</v>
      </c>
      <c r="H24" s="41"/>
      <c r="I24" s="41"/>
      <c r="J24" s="41">
        <v>74363</v>
      </c>
      <c r="K24" s="42">
        <f t="shared" si="0"/>
        <v>1142850</v>
      </c>
      <c r="L24" s="41">
        <v>8695</v>
      </c>
      <c r="M24" s="41">
        <v>9</v>
      </c>
      <c r="N24" s="41">
        <v>9</v>
      </c>
    </row>
    <row r="25" spans="1:14" ht="12.75">
      <c r="A25" s="39" t="s">
        <v>33</v>
      </c>
      <c r="B25" s="40">
        <v>84</v>
      </c>
      <c r="C25" s="41">
        <v>2385865</v>
      </c>
      <c r="D25" s="41">
        <v>343941</v>
      </c>
      <c r="E25" s="41"/>
      <c r="F25" s="41">
        <v>0</v>
      </c>
      <c r="G25" s="41">
        <v>9575</v>
      </c>
      <c r="H25" s="41"/>
      <c r="I25" s="41"/>
      <c r="J25" s="41">
        <v>221452</v>
      </c>
      <c r="K25" s="42">
        <f t="shared" si="0"/>
        <v>2960833</v>
      </c>
      <c r="L25" s="41">
        <v>20000</v>
      </c>
      <c r="M25" s="41">
        <v>25</v>
      </c>
      <c r="N25" s="41">
        <v>26</v>
      </c>
    </row>
    <row r="26" spans="1:14" ht="12.75">
      <c r="A26" s="39" t="s">
        <v>34</v>
      </c>
      <c r="B26" s="40">
        <v>85</v>
      </c>
      <c r="C26" s="41">
        <v>109900</v>
      </c>
      <c r="D26" s="41">
        <v>11007</v>
      </c>
      <c r="E26" s="41"/>
      <c r="F26" s="41">
        <v>0</v>
      </c>
      <c r="G26" s="41">
        <v>0</v>
      </c>
      <c r="H26" s="41"/>
      <c r="I26" s="41"/>
      <c r="J26" s="41">
        <v>0</v>
      </c>
      <c r="K26" s="42">
        <f t="shared" si="0"/>
        <v>120907</v>
      </c>
      <c r="L26" s="41">
        <v>0</v>
      </c>
      <c r="M26" s="41">
        <v>1</v>
      </c>
      <c r="N26" s="41">
        <v>2</v>
      </c>
    </row>
    <row r="27" spans="1:14" ht="12.75">
      <c r="A27" s="39" t="s">
        <v>35</v>
      </c>
      <c r="B27" s="40">
        <v>86</v>
      </c>
      <c r="C27" s="41">
        <v>440100</v>
      </c>
      <c r="D27" s="41">
        <v>52000</v>
      </c>
      <c r="E27" s="41"/>
      <c r="F27" s="41">
        <v>20000</v>
      </c>
      <c r="G27" s="41">
        <v>0</v>
      </c>
      <c r="H27" s="41"/>
      <c r="I27" s="41"/>
      <c r="J27" s="41">
        <v>41008</v>
      </c>
      <c r="K27" s="42">
        <f t="shared" si="0"/>
        <v>553108</v>
      </c>
      <c r="L27" s="41">
        <v>0</v>
      </c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547000</v>
      </c>
      <c r="D28" s="41">
        <v>78050</v>
      </c>
      <c r="E28" s="41"/>
      <c r="F28" s="41">
        <v>0</v>
      </c>
      <c r="G28" s="41">
        <v>65681</v>
      </c>
      <c r="H28" s="41"/>
      <c r="I28" s="41"/>
      <c r="J28" s="41">
        <v>52088</v>
      </c>
      <c r="K28" s="42">
        <f t="shared" si="0"/>
        <v>742819</v>
      </c>
      <c r="L28" s="41">
        <v>0</v>
      </c>
      <c r="M28" s="41">
        <v>3</v>
      </c>
      <c r="N28" s="41">
        <v>2</v>
      </c>
    </row>
    <row r="29" spans="1:14" ht="12.75">
      <c r="A29" s="39" t="s">
        <v>37</v>
      </c>
      <c r="B29" s="40">
        <v>88</v>
      </c>
      <c r="C29" s="41">
        <v>540700</v>
      </c>
      <c r="D29" s="41">
        <v>96200</v>
      </c>
      <c r="E29" s="41"/>
      <c r="F29" s="41">
        <v>30000</v>
      </c>
      <c r="G29" s="41">
        <v>39200</v>
      </c>
      <c r="H29" s="41"/>
      <c r="I29" s="41"/>
      <c r="J29" s="41">
        <v>53075</v>
      </c>
      <c r="K29" s="42">
        <f t="shared" si="0"/>
        <v>759175</v>
      </c>
      <c r="L29" s="41">
        <v>0</v>
      </c>
      <c r="M29" s="41">
        <v>3</v>
      </c>
      <c r="N29" s="41">
        <v>3</v>
      </c>
    </row>
    <row r="30" spans="1:14" ht="12.75">
      <c r="A30" s="39" t="s">
        <v>40</v>
      </c>
      <c r="B30" s="40">
        <v>89</v>
      </c>
      <c r="C30" s="41">
        <v>242500</v>
      </c>
      <c r="D30" s="41">
        <v>36375</v>
      </c>
      <c r="E30" s="41"/>
      <c r="F30" s="41">
        <v>0</v>
      </c>
      <c r="G30" s="41">
        <v>0</v>
      </c>
      <c r="H30" s="41"/>
      <c r="I30" s="41"/>
      <c r="J30" s="41">
        <v>23240</v>
      </c>
      <c r="K30" s="42">
        <f t="shared" si="0"/>
        <v>302115</v>
      </c>
      <c r="L30" s="41">
        <v>19232</v>
      </c>
      <c r="M30" s="41">
        <v>2</v>
      </c>
      <c r="N30" s="41">
        <v>2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/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6606487</v>
      </c>
      <c r="D32" s="45">
        <f aca="true" t="shared" si="1" ref="D32:J32">SUM(D12:D31)</f>
        <v>927641</v>
      </c>
      <c r="E32" s="45">
        <f t="shared" si="1"/>
        <v>0</v>
      </c>
      <c r="F32" s="45">
        <f t="shared" si="1"/>
        <v>50000</v>
      </c>
      <c r="G32" s="45">
        <f t="shared" si="1"/>
        <v>363463</v>
      </c>
      <c r="H32" s="45">
        <f t="shared" si="1"/>
        <v>0</v>
      </c>
      <c r="I32" s="45">
        <f t="shared" si="1"/>
        <v>0</v>
      </c>
      <c r="J32" s="45">
        <f t="shared" si="1"/>
        <v>602227</v>
      </c>
      <c r="K32" s="42">
        <f t="shared" si="0"/>
        <v>8549818</v>
      </c>
      <c r="L32" s="45">
        <f>SUM(L12:L31)</f>
        <v>47927</v>
      </c>
      <c r="M32" s="45">
        <f>SUM(M12:M31)</f>
        <v>61</v>
      </c>
      <c r="N32" s="45">
        <f>SUM(N12:N31)</f>
        <v>62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24643</v>
      </c>
      <c r="I42" s="41"/>
      <c r="J42" s="41">
        <v>90086</v>
      </c>
      <c r="K42" s="42">
        <f t="shared" si="0"/>
        <v>1195770</v>
      </c>
      <c r="L42" s="41">
        <v>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0</v>
      </c>
      <c r="I43" s="41"/>
      <c r="J43" s="41">
        <v>201319</v>
      </c>
      <c r="K43" s="42">
        <f t="shared" si="0"/>
        <v>2617143</v>
      </c>
      <c r="L43" s="41">
        <v>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1893850</v>
      </c>
      <c r="D44" s="41">
        <v>189002</v>
      </c>
      <c r="E44" s="41">
        <v>568155</v>
      </c>
      <c r="F44" s="41">
        <v>27056</v>
      </c>
      <c r="G44" s="41">
        <v>222431</v>
      </c>
      <c r="H44" s="41">
        <v>5025</v>
      </c>
      <c r="I44" s="41"/>
      <c r="J44" s="41">
        <v>207149</v>
      </c>
      <c r="K44" s="42">
        <f t="shared" si="0"/>
        <v>3112668</v>
      </c>
      <c r="L44" s="41">
        <v>19325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9200635</v>
      </c>
      <c r="D45" s="41">
        <v>1074876</v>
      </c>
      <c r="E45" s="41">
        <v>2760205</v>
      </c>
      <c r="F45" s="41">
        <v>330460</v>
      </c>
      <c r="G45" s="41">
        <v>328620</v>
      </c>
      <c r="H45" s="41">
        <v>10050</v>
      </c>
      <c r="I45" s="41"/>
      <c r="J45" s="41">
        <v>1056003</v>
      </c>
      <c r="K45" s="42">
        <f t="shared" si="0"/>
        <v>14760849</v>
      </c>
      <c r="L45" s="41">
        <v>47975</v>
      </c>
      <c r="M45" s="41">
        <v>46</v>
      </c>
      <c r="N45" s="41">
        <v>46</v>
      </c>
    </row>
    <row r="46" spans="1:14" ht="12.75">
      <c r="A46" s="48" t="s">
        <v>63</v>
      </c>
      <c r="B46" s="40">
        <v>120</v>
      </c>
      <c r="C46" s="41">
        <v>34536639</v>
      </c>
      <c r="D46" s="41">
        <v>4836903</v>
      </c>
      <c r="E46" s="41">
        <v>5308683</v>
      </c>
      <c r="F46" s="41">
        <v>189847</v>
      </c>
      <c r="G46" s="41">
        <v>7416190</v>
      </c>
      <c r="H46" s="41">
        <v>76145</v>
      </c>
      <c r="I46" s="41"/>
      <c r="J46" s="41">
        <v>3821392</v>
      </c>
      <c r="K46" s="42">
        <f t="shared" si="0"/>
        <v>56185799</v>
      </c>
      <c r="L46" s="41">
        <v>597203</v>
      </c>
      <c r="M46" s="41">
        <v>305</v>
      </c>
      <c r="N46" s="41">
        <v>318</v>
      </c>
    </row>
    <row r="47" spans="1:14" ht="12.75">
      <c r="A47" s="44" t="s">
        <v>74</v>
      </c>
      <c r="B47" s="45">
        <v>121</v>
      </c>
      <c r="C47" s="45">
        <f>SUM(C40:C46)</f>
        <v>47698899</v>
      </c>
      <c r="D47" s="45">
        <f aca="true" t="shared" si="3" ref="D47:J47">SUM(D40:D46)</f>
        <v>6302537</v>
      </c>
      <c r="E47" s="45">
        <f t="shared" si="3"/>
        <v>9257378</v>
      </c>
      <c r="F47" s="45">
        <f t="shared" si="3"/>
        <v>661381</v>
      </c>
      <c r="G47" s="45">
        <f t="shared" si="3"/>
        <v>8460222</v>
      </c>
      <c r="H47" s="45">
        <f t="shared" si="3"/>
        <v>115863</v>
      </c>
      <c r="I47" s="45">
        <f t="shared" si="3"/>
        <v>0</v>
      </c>
      <c r="J47" s="45">
        <f t="shared" si="3"/>
        <v>5375949</v>
      </c>
      <c r="K47" s="42">
        <f t="shared" si="0"/>
        <v>77872229</v>
      </c>
      <c r="L47" s="45">
        <f>SUM(L40:L46)</f>
        <v>664503</v>
      </c>
      <c r="M47" s="45">
        <f>SUM(M40:M46)</f>
        <v>365</v>
      </c>
      <c r="N47" s="45">
        <f>SUM(N40:N46)</f>
        <v>378</v>
      </c>
    </row>
    <row r="48" spans="1:14" ht="12.75">
      <c r="A48" s="44" t="s">
        <v>119</v>
      </c>
      <c r="B48" s="45">
        <v>152</v>
      </c>
      <c r="C48" s="45">
        <f>C32+C39+C47</f>
        <v>54305386</v>
      </c>
      <c r="D48" s="45">
        <f aca="true" t="shared" si="4" ref="D48:J48">D32+D39+D47</f>
        <v>7230178</v>
      </c>
      <c r="E48" s="45">
        <f t="shared" si="4"/>
        <v>9257378</v>
      </c>
      <c r="F48" s="45">
        <f t="shared" si="4"/>
        <v>711381</v>
      </c>
      <c r="G48" s="45">
        <f t="shared" si="4"/>
        <v>8823685</v>
      </c>
      <c r="H48" s="45">
        <f t="shared" si="4"/>
        <v>115863</v>
      </c>
      <c r="I48" s="45">
        <f t="shared" si="4"/>
        <v>0</v>
      </c>
      <c r="J48" s="45">
        <f t="shared" si="4"/>
        <v>5978176</v>
      </c>
      <c r="K48" s="42">
        <f t="shared" si="0"/>
        <v>86422047</v>
      </c>
      <c r="L48" s="45">
        <f>L32+L39+L47</f>
        <v>712430</v>
      </c>
      <c r="M48" s="45">
        <f>M32+M39+M47</f>
        <v>426</v>
      </c>
      <c r="N48" s="45">
        <f>N32+N39+N47</f>
        <v>440</v>
      </c>
    </row>
    <row r="49" spans="1:14" ht="12.75">
      <c r="A49" s="44" t="s">
        <v>51</v>
      </c>
      <c r="B49" s="45">
        <v>158</v>
      </c>
      <c r="C49" s="49">
        <v>406600</v>
      </c>
      <c r="D49" s="49">
        <v>100818</v>
      </c>
      <c r="E49" s="49">
        <v>0</v>
      </c>
      <c r="F49" s="49">
        <v>15000</v>
      </c>
      <c r="G49" s="49">
        <v>0</v>
      </c>
      <c r="H49" s="49">
        <v>0</v>
      </c>
      <c r="I49" s="49"/>
      <c r="J49" s="49">
        <v>42286</v>
      </c>
      <c r="K49" s="42">
        <f t="shared" si="0"/>
        <v>564704</v>
      </c>
      <c r="L49" s="49">
        <v>0</v>
      </c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54711986</v>
      </c>
      <c r="D50" s="45">
        <f aca="true" t="shared" si="5" ref="D50:J50">D48+D49</f>
        <v>7330996</v>
      </c>
      <c r="E50" s="45">
        <f t="shared" si="5"/>
        <v>9257378</v>
      </c>
      <c r="F50" s="45">
        <f t="shared" si="5"/>
        <v>726381</v>
      </c>
      <c r="G50" s="45">
        <f t="shared" si="5"/>
        <v>8823685</v>
      </c>
      <c r="H50" s="45">
        <f t="shared" si="5"/>
        <v>115863</v>
      </c>
      <c r="I50" s="45">
        <f t="shared" si="5"/>
        <v>0</v>
      </c>
      <c r="J50" s="45">
        <f t="shared" si="5"/>
        <v>6020462</v>
      </c>
      <c r="K50" s="42">
        <f t="shared" si="0"/>
        <v>86986751</v>
      </c>
      <c r="L50" s="45">
        <f>L48+L49</f>
        <v>712430</v>
      </c>
      <c r="M50" s="45">
        <f>M48+M49</f>
        <v>431</v>
      </c>
      <c r="N50" s="45">
        <f>N48+N49</f>
        <v>442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61</v>
      </c>
      <c r="B55" s="55">
        <f>IF(A55="","",VLOOKUP(A55,$A$12:$B$50,2,FALSE))</f>
        <v>75</v>
      </c>
      <c r="C55" s="55">
        <v>270550</v>
      </c>
      <c r="D55" s="55">
        <v>26669</v>
      </c>
      <c r="E55" s="55">
        <v>81165</v>
      </c>
      <c r="F55" s="55">
        <v>11595</v>
      </c>
      <c r="G55" s="55">
        <v>32853</v>
      </c>
      <c r="H55" s="55">
        <v>0</v>
      </c>
      <c r="I55" s="55"/>
      <c r="J55" s="55">
        <v>35236</v>
      </c>
      <c r="K55" s="42">
        <f>SUM(C55:J55)</f>
        <v>458068</v>
      </c>
      <c r="L55" s="55">
        <v>0</v>
      </c>
      <c r="M55" s="56">
        <v>1</v>
      </c>
      <c r="N55" s="117"/>
      <c r="O55" s="43"/>
    </row>
    <row r="56" spans="1:15" ht="12.75">
      <c r="A56" s="58" t="s">
        <v>62</v>
      </c>
      <c r="B56" s="59">
        <f>IF(A56="","",VLOOKUP(A56,$A$12:$B$50,2,FALSE))</f>
        <v>119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/>
      <c r="J56" s="59">
        <v>0</v>
      </c>
      <c r="K56" s="42">
        <f>SUM(C56:J56)</f>
        <v>0</v>
      </c>
      <c r="L56" s="59">
        <v>16909</v>
      </c>
      <c r="M56" s="60">
        <v>1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>
        <v>-64417</v>
      </c>
      <c r="D57" s="59">
        <v>-10565</v>
      </c>
      <c r="E57" s="59">
        <v>-9663</v>
      </c>
      <c r="F57" s="59">
        <v>0</v>
      </c>
      <c r="G57" s="59">
        <v>-10307</v>
      </c>
      <c r="H57" s="59">
        <v>0</v>
      </c>
      <c r="I57" s="59"/>
      <c r="J57" s="59">
        <v>-10074</v>
      </c>
      <c r="K57" s="42">
        <f>SUM(C57:J57)</f>
        <v>-105026</v>
      </c>
      <c r="L57" s="59">
        <v>0</v>
      </c>
      <c r="M57" s="60">
        <v>4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42">
        <f>SUM(C58:J58)</f>
        <v>0</v>
      </c>
      <c r="L58" s="59"/>
      <c r="M58" s="60"/>
      <c r="N58" s="57"/>
      <c r="O58" s="43"/>
    </row>
    <row r="59" spans="3:13" ht="12.75">
      <c r="C59" s="62"/>
      <c r="D59" s="62"/>
      <c r="E59" s="62"/>
      <c r="F59" s="62"/>
      <c r="G59" s="62"/>
      <c r="H59" s="62"/>
      <c r="I59" s="62"/>
      <c r="J59" s="62"/>
      <c r="K59" s="164"/>
      <c r="L59" s="62"/>
      <c r="M59" s="62"/>
    </row>
    <row r="60" spans="1:5" ht="12.75">
      <c r="A60" s="61" t="s">
        <v>21</v>
      </c>
      <c r="B60" s="174" t="s">
        <v>226</v>
      </c>
      <c r="C60" s="174"/>
      <c r="D60" s="174"/>
      <c r="E60" s="62"/>
    </row>
    <row r="61" spans="10:11" ht="12.75">
      <c r="J61" s="173" t="s">
        <v>222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169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966878</v>
      </c>
      <c r="D23" s="41"/>
      <c r="E23" s="41">
        <v>77761</v>
      </c>
      <c r="F23" s="41">
        <v>29250</v>
      </c>
      <c r="G23" s="41"/>
      <c r="H23" s="41"/>
      <c r="I23" s="41"/>
      <c r="J23" s="42">
        <f t="shared" si="0"/>
        <v>1073889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397000</v>
      </c>
      <c r="D24" s="41"/>
      <c r="E24" s="41">
        <v>42180</v>
      </c>
      <c r="F24" s="41">
        <v>15600</v>
      </c>
      <c r="G24" s="41"/>
      <c r="H24" s="41"/>
      <c r="I24" s="41"/>
      <c r="J24" s="42">
        <f t="shared" si="0"/>
        <v>454780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1778006</v>
      </c>
      <c r="D25" s="41"/>
      <c r="E25" s="41">
        <v>129172</v>
      </c>
      <c r="F25" s="41">
        <v>50050</v>
      </c>
      <c r="G25" s="41"/>
      <c r="H25" s="41"/>
      <c r="I25" s="41"/>
      <c r="J25" s="42">
        <f t="shared" si="0"/>
        <v>1957228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35064</v>
      </c>
      <c r="D26" s="41"/>
      <c r="E26" s="41">
        <v>3627</v>
      </c>
      <c r="F26" s="41">
        <v>1950</v>
      </c>
      <c r="G26" s="41"/>
      <c r="H26" s="41"/>
      <c r="I26" s="41"/>
      <c r="J26" s="42">
        <f t="shared" si="0"/>
        <v>40641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273176</v>
      </c>
      <c r="D27" s="41"/>
      <c r="E27" s="41">
        <v>19473</v>
      </c>
      <c r="F27" s="41">
        <v>5850</v>
      </c>
      <c r="G27" s="41"/>
      <c r="H27" s="41"/>
      <c r="I27" s="41"/>
      <c r="J27" s="42">
        <f t="shared" si="0"/>
        <v>298499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357489</v>
      </c>
      <c r="D28" s="41"/>
      <c r="E28" s="41">
        <v>26605</v>
      </c>
      <c r="F28" s="41">
        <v>5850</v>
      </c>
      <c r="G28" s="41"/>
      <c r="H28" s="41"/>
      <c r="I28" s="41"/>
      <c r="J28" s="42">
        <f t="shared" si="0"/>
        <v>389944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339567</v>
      </c>
      <c r="D29" s="41"/>
      <c r="E29" s="41">
        <v>23197</v>
      </c>
      <c r="F29" s="41">
        <v>5850</v>
      </c>
      <c r="G29" s="41"/>
      <c r="H29" s="41"/>
      <c r="I29" s="41"/>
      <c r="J29" s="42">
        <f t="shared" si="0"/>
        <v>368614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140547</v>
      </c>
      <c r="D30" s="41"/>
      <c r="E30" s="41">
        <v>11080</v>
      </c>
      <c r="F30" s="41">
        <v>1950</v>
      </c>
      <c r="G30" s="41"/>
      <c r="H30" s="41"/>
      <c r="I30" s="41"/>
      <c r="J30" s="42">
        <f t="shared" si="0"/>
        <v>153577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4287727</v>
      </c>
      <c r="D32" s="45">
        <f>SUM(D12:D31)</f>
        <v>0</v>
      </c>
      <c r="E32" s="45">
        <f t="shared" si="1"/>
        <v>333095</v>
      </c>
      <c r="F32" s="45">
        <f t="shared" si="1"/>
        <v>116350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4737172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346773</v>
      </c>
      <c r="D42" s="41"/>
      <c r="E42" s="41">
        <v>35874</v>
      </c>
      <c r="F42" s="41">
        <v>3900</v>
      </c>
      <c r="G42" s="41">
        <v>2640</v>
      </c>
      <c r="H42" s="41"/>
      <c r="I42" s="41"/>
      <c r="J42" s="42">
        <f t="shared" si="0"/>
        <v>389187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758974</v>
      </c>
      <c r="D43" s="41"/>
      <c r="E43" s="41">
        <v>78514</v>
      </c>
      <c r="F43" s="41">
        <v>9750</v>
      </c>
      <c r="G43" s="41">
        <v>6600</v>
      </c>
      <c r="H43" s="41"/>
      <c r="I43" s="41"/>
      <c r="J43" s="42">
        <f t="shared" si="0"/>
        <v>853838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1898753</v>
      </c>
      <c r="D44" s="41"/>
      <c r="E44" s="41">
        <v>171817</v>
      </c>
      <c r="F44" s="41">
        <v>17030</v>
      </c>
      <c r="G44" s="41">
        <v>14410</v>
      </c>
      <c r="H44" s="41"/>
      <c r="I44" s="41"/>
      <c r="J44" s="42">
        <f t="shared" si="0"/>
        <v>2102010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3698646</v>
      </c>
      <c r="D45" s="41"/>
      <c r="E45" s="41">
        <v>402723</v>
      </c>
      <c r="F45" s="41">
        <v>75325</v>
      </c>
      <c r="G45" s="41">
        <v>56760</v>
      </c>
      <c r="H45" s="41"/>
      <c r="I45" s="41"/>
      <c r="J45" s="42">
        <f t="shared" si="0"/>
        <v>4233454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14450992</v>
      </c>
      <c r="D46" s="41"/>
      <c r="E46" s="41">
        <v>1722959</v>
      </c>
      <c r="F46" s="41">
        <v>578665</v>
      </c>
      <c r="G46" s="41">
        <v>418584</v>
      </c>
      <c r="H46" s="41"/>
      <c r="I46" s="41"/>
      <c r="J46" s="42">
        <f t="shared" si="0"/>
        <v>17171200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21154138</v>
      </c>
      <c r="D47" s="45">
        <f>SUM(D40:D46)</f>
        <v>0</v>
      </c>
      <c r="E47" s="45">
        <f t="shared" si="3"/>
        <v>2411887</v>
      </c>
      <c r="F47" s="45">
        <f t="shared" si="3"/>
        <v>684670</v>
      </c>
      <c r="G47" s="45">
        <f t="shared" si="3"/>
        <v>498994</v>
      </c>
      <c r="H47" s="45">
        <f t="shared" si="3"/>
        <v>0</v>
      </c>
      <c r="I47" s="45">
        <f t="shared" si="3"/>
        <v>0</v>
      </c>
      <c r="J47" s="42">
        <f t="shared" si="0"/>
        <v>24749689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25441865</v>
      </c>
      <c r="D48" s="45">
        <f>D32+D39+D47</f>
        <v>0</v>
      </c>
      <c r="E48" s="45">
        <f t="shared" si="4"/>
        <v>2744982</v>
      </c>
      <c r="F48" s="45">
        <f t="shared" si="4"/>
        <v>801020</v>
      </c>
      <c r="G48" s="45">
        <f t="shared" si="4"/>
        <v>498994</v>
      </c>
      <c r="H48" s="45">
        <f t="shared" si="4"/>
        <v>0</v>
      </c>
      <c r="I48" s="45">
        <f t="shared" si="4"/>
        <v>0</v>
      </c>
      <c r="J48" s="42">
        <f t="shared" si="0"/>
        <v>29486861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320259</v>
      </c>
      <c r="D49" s="49"/>
      <c r="E49" s="49">
        <v>21252</v>
      </c>
      <c r="F49" s="49">
        <v>5606</v>
      </c>
      <c r="G49" s="49"/>
      <c r="H49" s="49"/>
      <c r="I49" s="49"/>
      <c r="J49" s="42">
        <f t="shared" si="0"/>
        <v>347117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25762124</v>
      </c>
      <c r="D50" s="45">
        <f>D48+D49</f>
        <v>0</v>
      </c>
      <c r="E50" s="45">
        <f t="shared" si="5"/>
        <v>2766234</v>
      </c>
      <c r="F50" s="45">
        <f t="shared" si="5"/>
        <v>806626</v>
      </c>
      <c r="G50" s="45">
        <f t="shared" si="5"/>
        <v>498994</v>
      </c>
      <c r="H50" s="45">
        <f t="shared" si="5"/>
        <v>0</v>
      </c>
      <c r="I50" s="45">
        <f t="shared" si="5"/>
        <v>0</v>
      </c>
      <c r="J50" s="42">
        <f t="shared" si="0"/>
        <v>29833978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40</v>
      </c>
      <c r="B55" s="55">
        <f>IF(A55="","",VLOOKUP(A55,$A$12:$B$50,2,FALSE))</f>
        <v>89</v>
      </c>
      <c r="C55" s="55">
        <v>47357</v>
      </c>
      <c r="D55" s="55"/>
      <c r="E55" s="55">
        <v>1440</v>
      </c>
      <c r="F55" s="55"/>
      <c r="G55" s="55"/>
      <c r="H55" s="55"/>
      <c r="I55" s="55"/>
      <c r="J55" s="128">
        <f>SUM(C55:I55)</f>
        <v>48797</v>
      </c>
      <c r="K55" s="55">
        <v>19</v>
      </c>
      <c r="L55" s="56">
        <v>19</v>
      </c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9">
        <v>670768</v>
      </c>
      <c r="D56" s="59"/>
      <c r="E56" s="59">
        <v>24776</v>
      </c>
      <c r="F56" s="59">
        <v>2460</v>
      </c>
      <c r="G56" s="59"/>
      <c r="H56" s="59"/>
      <c r="I56" s="59"/>
      <c r="J56" s="128">
        <f>SUM(C56:I56)</f>
        <v>698004</v>
      </c>
      <c r="K56" s="59">
        <v>19</v>
      </c>
      <c r="L56" s="60">
        <v>19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76725</v>
      </c>
      <c r="D57" s="59"/>
      <c r="E57" s="59">
        <v>7599</v>
      </c>
      <c r="F57" s="59"/>
      <c r="G57" s="59"/>
      <c r="H57" s="59"/>
      <c r="I57" s="59"/>
      <c r="J57" s="128">
        <f>SUM(C57:I57)</f>
        <v>84324</v>
      </c>
      <c r="K57" s="59">
        <v>19</v>
      </c>
      <c r="L57" s="60">
        <v>19</v>
      </c>
      <c r="M57" s="129"/>
      <c r="N57" s="112"/>
      <c r="O57" s="114"/>
      <c r="P57" s="130"/>
    </row>
    <row r="58" spans="1:16" ht="12.75">
      <c r="A58" s="58" t="s">
        <v>51</v>
      </c>
      <c r="B58" s="59">
        <f>IF(A58="","",VLOOKUP(A58,$A$12:$B$50,2,FALSE))</f>
        <v>158</v>
      </c>
      <c r="C58" s="59">
        <v>47356</v>
      </c>
      <c r="D58" s="59"/>
      <c r="E58" s="59">
        <v>1440</v>
      </c>
      <c r="F58" s="59"/>
      <c r="G58" s="59"/>
      <c r="H58" s="59"/>
      <c r="I58" s="59"/>
      <c r="J58" s="128">
        <f>SUM(C58:I58)</f>
        <v>48796</v>
      </c>
      <c r="K58" s="59">
        <v>19</v>
      </c>
      <c r="L58" s="60">
        <v>19</v>
      </c>
      <c r="M58" s="129"/>
      <c r="N58" s="112"/>
      <c r="O58" s="132"/>
      <c r="P58" s="43"/>
    </row>
    <row r="60" spans="1:6" ht="12.75">
      <c r="A60" s="61" t="s">
        <v>21</v>
      </c>
      <c r="B60" s="174" t="s">
        <v>228</v>
      </c>
      <c r="C60" s="174"/>
      <c r="D60" s="174"/>
      <c r="E60" s="174"/>
      <c r="F60" s="62"/>
    </row>
    <row r="61" spans="8:9" ht="12.75">
      <c r="H61" s="173" t="s">
        <v>222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0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227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93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/>
      <c r="F22" s="41">
        <v>0</v>
      </c>
      <c r="G22" s="41">
        <v>0</v>
      </c>
      <c r="H22" s="41"/>
      <c r="I22" s="41"/>
      <c r="J22" s="41"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1404520</v>
      </c>
      <c r="D23" s="41">
        <v>203527</v>
      </c>
      <c r="E23" s="41"/>
      <c r="F23" s="41">
        <v>0</v>
      </c>
      <c r="G23" s="41">
        <v>124795</v>
      </c>
      <c r="H23" s="41"/>
      <c r="I23" s="41"/>
      <c r="J23" s="41">
        <v>127394</v>
      </c>
      <c r="K23" s="42">
        <f t="shared" si="0"/>
        <v>1860236</v>
      </c>
      <c r="L23" s="41">
        <v>295252</v>
      </c>
      <c r="M23" s="41">
        <v>16</v>
      </c>
      <c r="N23" s="41">
        <v>14</v>
      </c>
    </row>
    <row r="24" spans="1:14" ht="12.75">
      <c r="A24" s="39" t="s">
        <v>32</v>
      </c>
      <c r="B24" s="40">
        <v>83</v>
      </c>
      <c r="C24" s="41">
        <v>899859</v>
      </c>
      <c r="D24" s="41">
        <v>101170</v>
      </c>
      <c r="E24" s="41"/>
      <c r="F24" s="41">
        <v>0</v>
      </c>
      <c r="G24" s="41">
        <v>59374</v>
      </c>
      <c r="H24" s="41"/>
      <c r="I24" s="41"/>
      <c r="J24" s="41">
        <v>72651</v>
      </c>
      <c r="K24" s="42">
        <f t="shared" si="0"/>
        <v>1133054</v>
      </c>
      <c r="L24" s="41">
        <v>138717</v>
      </c>
      <c r="M24" s="41">
        <v>9</v>
      </c>
      <c r="N24" s="41">
        <v>9</v>
      </c>
    </row>
    <row r="25" spans="1:14" ht="12.75">
      <c r="A25" s="39" t="s">
        <v>33</v>
      </c>
      <c r="B25" s="40">
        <v>84</v>
      </c>
      <c r="C25" s="41">
        <v>2178988</v>
      </c>
      <c r="D25" s="41">
        <v>309814</v>
      </c>
      <c r="E25" s="41"/>
      <c r="F25" s="41">
        <v>0</v>
      </c>
      <c r="G25" s="41">
        <v>6383</v>
      </c>
      <c r="H25" s="41"/>
      <c r="I25" s="41"/>
      <c r="J25" s="41">
        <v>212255</v>
      </c>
      <c r="K25" s="42">
        <f t="shared" si="0"/>
        <v>2707440</v>
      </c>
      <c r="L25" s="41">
        <v>341269</v>
      </c>
      <c r="M25" s="41">
        <v>24</v>
      </c>
      <c r="N25" s="41">
        <v>24</v>
      </c>
    </row>
    <row r="26" spans="1:14" ht="12.75">
      <c r="A26" s="39" t="s">
        <v>34</v>
      </c>
      <c r="B26" s="40">
        <v>85</v>
      </c>
      <c r="C26" s="41">
        <v>109900</v>
      </c>
      <c r="D26" s="41">
        <v>11007</v>
      </c>
      <c r="E26" s="41"/>
      <c r="F26" s="41">
        <v>0</v>
      </c>
      <c r="G26" s="41">
        <v>0</v>
      </c>
      <c r="H26" s="41"/>
      <c r="I26" s="41"/>
      <c r="J26" s="41">
        <v>10076</v>
      </c>
      <c r="K26" s="42">
        <f t="shared" si="0"/>
        <v>130983</v>
      </c>
      <c r="L26" s="41">
        <v>8077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440100</v>
      </c>
      <c r="D27" s="41">
        <v>52000</v>
      </c>
      <c r="E27" s="41"/>
      <c r="F27" s="41">
        <v>20000</v>
      </c>
      <c r="G27" s="41">
        <v>0</v>
      </c>
      <c r="H27" s="41"/>
      <c r="I27" s="41"/>
      <c r="J27" s="41">
        <v>41008</v>
      </c>
      <c r="K27" s="42">
        <f t="shared" si="0"/>
        <v>553108</v>
      </c>
      <c r="L27" s="41">
        <v>40055</v>
      </c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547000</v>
      </c>
      <c r="D28" s="41">
        <v>78050</v>
      </c>
      <c r="E28" s="41"/>
      <c r="F28" s="41">
        <v>0</v>
      </c>
      <c r="G28" s="41">
        <v>54332</v>
      </c>
      <c r="H28" s="41"/>
      <c r="I28" s="41"/>
      <c r="J28" s="41">
        <v>52088</v>
      </c>
      <c r="K28" s="42">
        <f t="shared" si="0"/>
        <v>731470</v>
      </c>
      <c r="L28" s="41">
        <v>45000</v>
      </c>
      <c r="M28" s="41">
        <v>3</v>
      </c>
      <c r="N28" s="41">
        <v>2</v>
      </c>
    </row>
    <row r="29" spans="1:14" ht="12.75">
      <c r="A29" s="39" t="s">
        <v>37</v>
      </c>
      <c r="B29" s="40">
        <v>88</v>
      </c>
      <c r="C29" s="41">
        <v>348470</v>
      </c>
      <c r="D29" s="41">
        <v>83581</v>
      </c>
      <c r="E29" s="41"/>
      <c r="F29" s="41">
        <v>30000</v>
      </c>
      <c r="G29" s="41">
        <v>39200</v>
      </c>
      <c r="H29" s="41"/>
      <c r="I29" s="41"/>
      <c r="J29" s="41">
        <v>53075</v>
      </c>
      <c r="K29" s="42">
        <f t="shared" si="0"/>
        <v>554326</v>
      </c>
      <c r="L29" s="41">
        <v>45000</v>
      </c>
      <c r="M29" s="41">
        <v>3</v>
      </c>
      <c r="N29" s="41">
        <v>3</v>
      </c>
    </row>
    <row r="30" spans="1:14" ht="12.75">
      <c r="A30" s="39" t="s">
        <v>40</v>
      </c>
      <c r="B30" s="40">
        <v>89</v>
      </c>
      <c r="C30" s="41">
        <v>242500</v>
      </c>
      <c r="D30" s="41">
        <v>36375</v>
      </c>
      <c r="E30" s="41"/>
      <c r="F30" s="41">
        <v>0</v>
      </c>
      <c r="G30" s="41">
        <v>0</v>
      </c>
      <c r="H30" s="41"/>
      <c r="I30" s="41"/>
      <c r="J30" s="41">
        <v>23240</v>
      </c>
      <c r="K30" s="42">
        <f t="shared" si="0"/>
        <v>302115</v>
      </c>
      <c r="L30" s="41">
        <v>109561</v>
      </c>
      <c r="M30" s="41">
        <v>1</v>
      </c>
      <c r="N30" s="41">
        <v>2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/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6171337</v>
      </c>
      <c r="D32" s="45">
        <f aca="true" t="shared" si="1" ref="D32:J32">SUM(D12:D31)</f>
        <v>875524</v>
      </c>
      <c r="E32" s="45">
        <f t="shared" si="1"/>
        <v>0</v>
      </c>
      <c r="F32" s="45">
        <f t="shared" si="1"/>
        <v>50000</v>
      </c>
      <c r="G32" s="45">
        <f t="shared" si="1"/>
        <v>284084</v>
      </c>
      <c r="H32" s="45">
        <f t="shared" si="1"/>
        <v>0</v>
      </c>
      <c r="I32" s="45">
        <f t="shared" si="1"/>
        <v>0</v>
      </c>
      <c r="J32" s="45">
        <f t="shared" si="1"/>
        <v>591787</v>
      </c>
      <c r="K32" s="42">
        <f t="shared" si="0"/>
        <v>7972732</v>
      </c>
      <c r="L32" s="45">
        <f>SUM(L12:L31)</f>
        <v>1022931</v>
      </c>
      <c r="M32" s="45">
        <f>SUM(M12:M31)</f>
        <v>60</v>
      </c>
      <c r="N32" s="45">
        <f>SUM(N12:N31)</f>
        <v>59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0</v>
      </c>
      <c r="I42" s="41"/>
      <c r="J42" s="41">
        <v>90086</v>
      </c>
      <c r="K42" s="42">
        <f t="shared" si="0"/>
        <v>1171127</v>
      </c>
      <c r="L42" s="41">
        <v>30000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0</v>
      </c>
      <c r="I43" s="41"/>
      <c r="J43" s="41">
        <v>201319</v>
      </c>
      <c r="K43" s="42">
        <f t="shared" si="0"/>
        <v>2617143</v>
      </c>
      <c r="L43" s="41">
        <v>75000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1558883</v>
      </c>
      <c r="D44" s="41">
        <v>153112</v>
      </c>
      <c r="E44" s="41">
        <v>467665</v>
      </c>
      <c r="F44" s="41">
        <v>27056</v>
      </c>
      <c r="G44" s="41">
        <v>180321</v>
      </c>
      <c r="H44" s="41">
        <v>0</v>
      </c>
      <c r="I44" s="41"/>
      <c r="J44" s="41">
        <v>36004</v>
      </c>
      <c r="K44" s="42">
        <f t="shared" si="0"/>
        <v>2423041</v>
      </c>
      <c r="L44" s="41">
        <v>124325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9248947</v>
      </c>
      <c r="D45" s="41">
        <v>1074876</v>
      </c>
      <c r="E45" s="41">
        <v>2774699</v>
      </c>
      <c r="F45" s="41">
        <v>330460</v>
      </c>
      <c r="G45" s="41">
        <v>327219</v>
      </c>
      <c r="H45" s="41">
        <v>5025</v>
      </c>
      <c r="I45" s="41"/>
      <c r="J45" s="41">
        <v>1054667</v>
      </c>
      <c r="K45" s="42">
        <f t="shared" si="0"/>
        <v>14815893</v>
      </c>
      <c r="L45" s="41">
        <v>1041314</v>
      </c>
      <c r="M45" s="41">
        <v>45</v>
      </c>
      <c r="N45" s="41">
        <v>46</v>
      </c>
    </row>
    <row r="46" spans="1:14" ht="12.75">
      <c r="A46" s="48" t="s">
        <v>63</v>
      </c>
      <c r="B46" s="40">
        <v>120</v>
      </c>
      <c r="C46" s="41">
        <v>34640593</v>
      </c>
      <c r="D46" s="41">
        <v>4897211</v>
      </c>
      <c r="E46" s="41">
        <v>5320975</v>
      </c>
      <c r="F46" s="41">
        <v>171994</v>
      </c>
      <c r="G46" s="41">
        <v>7384640</v>
      </c>
      <c r="H46" s="41">
        <v>106295</v>
      </c>
      <c r="I46" s="41"/>
      <c r="J46" s="41">
        <v>4048321</v>
      </c>
      <c r="K46" s="42">
        <f t="shared" si="0"/>
        <v>56570029</v>
      </c>
      <c r="L46" s="41">
        <v>9035198</v>
      </c>
      <c r="M46" s="41">
        <v>322</v>
      </c>
      <c r="N46" s="41">
        <v>316</v>
      </c>
    </row>
    <row r="47" spans="1:14" ht="12.75">
      <c r="A47" s="44" t="s">
        <v>74</v>
      </c>
      <c r="B47" s="45">
        <v>121</v>
      </c>
      <c r="C47" s="45">
        <f>SUM(C40:C46)</f>
        <v>47516198</v>
      </c>
      <c r="D47" s="45">
        <f aca="true" t="shared" si="3" ref="D47:J47">SUM(D40:D46)</f>
        <v>6326955</v>
      </c>
      <c r="E47" s="45">
        <f t="shared" si="3"/>
        <v>9183674</v>
      </c>
      <c r="F47" s="45">
        <f t="shared" si="3"/>
        <v>643528</v>
      </c>
      <c r="G47" s="45">
        <f t="shared" si="3"/>
        <v>8385161</v>
      </c>
      <c r="H47" s="45">
        <f t="shared" si="3"/>
        <v>111320</v>
      </c>
      <c r="I47" s="45">
        <f t="shared" si="3"/>
        <v>0</v>
      </c>
      <c r="J47" s="45">
        <f t="shared" si="3"/>
        <v>5430397</v>
      </c>
      <c r="K47" s="42">
        <f t="shared" si="0"/>
        <v>77597233</v>
      </c>
      <c r="L47" s="45">
        <f>SUM(L40:L46)</f>
        <v>10305837</v>
      </c>
      <c r="M47" s="45">
        <f>SUM(M40:M46)</f>
        <v>381</v>
      </c>
      <c r="N47" s="45">
        <f>SUM(N40:N46)</f>
        <v>376</v>
      </c>
    </row>
    <row r="48" spans="1:14" ht="12.75">
      <c r="A48" s="44" t="s">
        <v>119</v>
      </c>
      <c r="B48" s="45">
        <v>152</v>
      </c>
      <c r="C48" s="45">
        <f>C32+C39+C47</f>
        <v>53687535</v>
      </c>
      <c r="D48" s="45">
        <f aca="true" t="shared" si="4" ref="D48:J48">D32+D39+D47</f>
        <v>7202479</v>
      </c>
      <c r="E48" s="45">
        <f t="shared" si="4"/>
        <v>9183674</v>
      </c>
      <c r="F48" s="45">
        <f t="shared" si="4"/>
        <v>693528</v>
      </c>
      <c r="G48" s="45">
        <f t="shared" si="4"/>
        <v>8669245</v>
      </c>
      <c r="H48" s="45">
        <f t="shared" si="4"/>
        <v>111320</v>
      </c>
      <c r="I48" s="45">
        <f t="shared" si="4"/>
        <v>0</v>
      </c>
      <c r="J48" s="45">
        <f t="shared" si="4"/>
        <v>6022184</v>
      </c>
      <c r="K48" s="42">
        <f t="shared" si="0"/>
        <v>85569965</v>
      </c>
      <c r="L48" s="45">
        <f>L32+L39+L47</f>
        <v>11328768</v>
      </c>
      <c r="M48" s="45">
        <f>M32+M39+M47</f>
        <v>441</v>
      </c>
      <c r="N48" s="45">
        <f>N32+N39+N47</f>
        <v>435</v>
      </c>
    </row>
    <row r="49" spans="1:14" ht="12.75">
      <c r="A49" s="44" t="s">
        <v>51</v>
      </c>
      <c r="B49" s="45">
        <v>158</v>
      </c>
      <c r="C49" s="49">
        <v>406600</v>
      </c>
      <c r="D49" s="49">
        <v>100818</v>
      </c>
      <c r="E49" s="49"/>
      <c r="F49" s="49">
        <v>15000</v>
      </c>
      <c r="G49" s="49">
        <v>0</v>
      </c>
      <c r="H49" s="49">
        <v>0</v>
      </c>
      <c r="I49" s="49"/>
      <c r="J49" s="49">
        <v>42286</v>
      </c>
      <c r="K49" s="42">
        <f t="shared" si="0"/>
        <v>564704</v>
      </c>
      <c r="L49" s="49">
        <v>42450</v>
      </c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54094135</v>
      </c>
      <c r="D50" s="45">
        <f aca="true" t="shared" si="5" ref="D50:J50">D48+D49</f>
        <v>7303297</v>
      </c>
      <c r="E50" s="45">
        <f t="shared" si="5"/>
        <v>9183674</v>
      </c>
      <c r="F50" s="45">
        <f t="shared" si="5"/>
        <v>708528</v>
      </c>
      <c r="G50" s="45">
        <f t="shared" si="5"/>
        <v>8669245</v>
      </c>
      <c r="H50" s="45">
        <f t="shared" si="5"/>
        <v>111320</v>
      </c>
      <c r="I50" s="45">
        <f t="shared" si="5"/>
        <v>0</v>
      </c>
      <c r="J50" s="45">
        <f t="shared" si="5"/>
        <v>6064470</v>
      </c>
      <c r="K50" s="42">
        <f t="shared" si="0"/>
        <v>86134669</v>
      </c>
      <c r="L50" s="45">
        <f>L48+L49</f>
        <v>11371218</v>
      </c>
      <c r="M50" s="45">
        <f>M48+M49</f>
        <v>446</v>
      </c>
      <c r="N50" s="45">
        <f>N48+N49</f>
        <v>437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61</v>
      </c>
      <c r="B55" s="55">
        <f>IF(A55="","",VLOOKUP(A55,$A$12:$B$50,2,FALSE))</f>
        <v>75</v>
      </c>
      <c r="C55" s="55">
        <v>-64417</v>
      </c>
      <c r="D55" s="55">
        <v>-6902</v>
      </c>
      <c r="E55" s="55">
        <v>-19325</v>
      </c>
      <c r="F55" s="55">
        <v>0</v>
      </c>
      <c r="G55" s="55">
        <v>-8098</v>
      </c>
      <c r="H55" s="55">
        <v>0</v>
      </c>
      <c r="I55" s="55"/>
      <c r="J55" s="55">
        <v>-171145</v>
      </c>
      <c r="K55" s="42">
        <f>SUM(C55:J55)</f>
        <v>-269887</v>
      </c>
      <c r="L55" s="55">
        <v>0</v>
      </c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101594</v>
      </c>
      <c r="D56" s="59">
        <v>16786</v>
      </c>
      <c r="E56" s="59">
        <v>15240</v>
      </c>
      <c r="F56" s="59">
        <v>0</v>
      </c>
      <c r="G56" s="59">
        <v>67721</v>
      </c>
      <c r="H56" s="59">
        <v>5025</v>
      </c>
      <c r="I56" s="59"/>
      <c r="J56" s="59">
        <v>143460</v>
      </c>
      <c r="K56" s="118">
        <v>349826</v>
      </c>
      <c r="L56" s="59">
        <v>79036</v>
      </c>
      <c r="M56" s="60">
        <v>6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59" spans="3:13" ht="12.7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5" ht="12.75">
      <c r="A60" s="61" t="s">
        <v>21</v>
      </c>
      <c r="B60" s="174" t="s">
        <v>229</v>
      </c>
      <c r="C60" s="174"/>
      <c r="D60" s="174"/>
      <c r="E60" s="62"/>
    </row>
    <row r="61" spans="10:11" ht="12.75">
      <c r="J61" s="173" t="s">
        <v>216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28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170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625098</v>
      </c>
      <c r="D23" s="41"/>
      <c r="E23" s="41">
        <v>64667</v>
      </c>
      <c r="F23" s="41">
        <v>29250</v>
      </c>
      <c r="G23" s="41"/>
      <c r="H23" s="41"/>
      <c r="I23" s="41"/>
      <c r="J23" s="42">
        <f t="shared" si="0"/>
        <v>719015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333318</v>
      </c>
      <c r="D24" s="41"/>
      <c r="E24" s="41">
        <v>34481</v>
      </c>
      <c r="F24" s="41">
        <v>15600</v>
      </c>
      <c r="G24" s="41"/>
      <c r="H24" s="41"/>
      <c r="I24" s="41"/>
      <c r="J24" s="42">
        <f t="shared" si="0"/>
        <v>383399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933345</v>
      </c>
      <c r="D25" s="41"/>
      <c r="E25" s="41">
        <v>96542</v>
      </c>
      <c r="F25" s="41">
        <v>46800</v>
      </c>
      <c r="G25" s="41"/>
      <c r="H25" s="41"/>
      <c r="I25" s="41"/>
      <c r="J25" s="42">
        <f t="shared" si="0"/>
        <v>1076687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40326</v>
      </c>
      <c r="D26" s="41"/>
      <c r="E26" s="41">
        <v>4172</v>
      </c>
      <c r="F26" s="41">
        <v>1950</v>
      </c>
      <c r="G26" s="41"/>
      <c r="H26" s="41"/>
      <c r="I26" s="41"/>
      <c r="J26" s="42">
        <f t="shared" si="0"/>
        <v>46448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211481</v>
      </c>
      <c r="D27" s="41"/>
      <c r="E27" s="41">
        <v>18995</v>
      </c>
      <c r="F27" s="41">
        <v>5850</v>
      </c>
      <c r="G27" s="41"/>
      <c r="H27" s="41"/>
      <c r="I27" s="41"/>
      <c r="J27" s="42">
        <f t="shared" si="0"/>
        <v>236326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225178</v>
      </c>
      <c r="D28" s="41"/>
      <c r="E28" s="41">
        <v>23295</v>
      </c>
      <c r="F28" s="41">
        <v>5850</v>
      </c>
      <c r="G28" s="41"/>
      <c r="H28" s="41"/>
      <c r="I28" s="41"/>
      <c r="J28" s="42">
        <f t="shared" si="0"/>
        <v>254323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199823</v>
      </c>
      <c r="D29" s="41"/>
      <c r="E29" s="41">
        <v>20673</v>
      </c>
      <c r="F29" s="41">
        <v>4875</v>
      </c>
      <c r="G29" s="41"/>
      <c r="H29" s="41"/>
      <c r="I29" s="41"/>
      <c r="J29" s="42">
        <f t="shared" si="0"/>
        <v>225371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119384</v>
      </c>
      <c r="D30" s="41"/>
      <c r="E30" s="41">
        <v>12350</v>
      </c>
      <c r="F30" s="41">
        <v>1950</v>
      </c>
      <c r="G30" s="41"/>
      <c r="H30" s="41"/>
      <c r="I30" s="41"/>
      <c r="J30" s="42">
        <f t="shared" si="0"/>
        <v>133684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2687953</v>
      </c>
      <c r="D32" s="45">
        <f>SUM(D12:D31)</f>
        <v>0</v>
      </c>
      <c r="E32" s="45">
        <f t="shared" si="1"/>
        <v>275175</v>
      </c>
      <c r="F32" s="45">
        <f t="shared" si="1"/>
        <v>112125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3075253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348328</v>
      </c>
      <c r="D42" s="41"/>
      <c r="E42" s="41">
        <v>36033</v>
      </c>
      <c r="F42" s="41">
        <v>3900</v>
      </c>
      <c r="G42" s="41"/>
      <c r="H42" s="41"/>
      <c r="I42" s="41"/>
      <c r="J42" s="42">
        <f t="shared" si="0"/>
        <v>388261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780724</v>
      </c>
      <c r="D43" s="41"/>
      <c r="E43" s="41">
        <v>80764</v>
      </c>
      <c r="F43" s="41">
        <v>9750</v>
      </c>
      <c r="G43" s="41"/>
      <c r="H43" s="41"/>
      <c r="I43" s="41"/>
      <c r="J43" s="42">
        <f t="shared" si="0"/>
        <v>871238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1688296</v>
      </c>
      <c r="D44" s="41"/>
      <c r="E44" s="41">
        <v>174652</v>
      </c>
      <c r="F44" s="41">
        <v>19500</v>
      </c>
      <c r="G44" s="41"/>
      <c r="H44" s="41"/>
      <c r="I44" s="41"/>
      <c r="J44" s="42">
        <f t="shared" si="0"/>
        <v>1882448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4336070</v>
      </c>
      <c r="D45" s="41"/>
      <c r="E45" s="41">
        <v>439248</v>
      </c>
      <c r="F45" s="41">
        <v>74815</v>
      </c>
      <c r="G45" s="41"/>
      <c r="H45" s="41"/>
      <c r="I45" s="41"/>
      <c r="J45" s="42">
        <f t="shared" si="0"/>
        <v>4850133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19480757</v>
      </c>
      <c r="D46" s="41"/>
      <c r="E46" s="41">
        <v>2009663</v>
      </c>
      <c r="F46" s="41">
        <v>580320</v>
      </c>
      <c r="G46" s="41"/>
      <c r="H46" s="41"/>
      <c r="I46" s="41"/>
      <c r="J46" s="42">
        <f t="shared" si="0"/>
        <v>22070740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26634175</v>
      </c>
      <c r="D47" s="45">
        <f>SUM(D40:D46)</f>
        <v>0</v>
      </c>
      <c r="E47" s="45">
        <f t="shared" si="3"/>
        <v>2740360</v>
      </c>
      <c r="F47" s="45">
        <f t="shared" si="3"/>
        <v>688285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30062820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29322128</v>
      </c>
      <c r="D48" s="45">
        <f>D32+D39+D47</f>
        <v>0</v>
      </c>
      <c r="E48" s="45">
        <f t="shared" si="4"/>
        <v>3015535</v>
      </c>
      <c r="F48" s="45">
        <f t="shared" si="4"/>
        <v>800410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33138073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176074</v>
      </c>
      <c r="D49" s="49"/>
      <c r="E49" s="49">
        <v>18217</v>
      </c>
      <c r="F49" s="49">
        <v>5606</v>
      </c>
      <c r="G49" s="49"/>
      <c r="H49" s="49"/>
      <c r="I49" s="49"/>
      <c r="J49" s="42">
        <f t="shared" si="0"/>
        <v>199897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29498202</v>
      </c>
      <c r="D50" s="45">
        <f>D48+D49</f>
        <v>0</v>
      </c>
      <c r="E50" s="45">
        <f t="shared" si="5"/>
        <v>3033752</v>
      </c>
      <c r="F50" s="45">
        <f t="shared" si="5"/>
        <v>806016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33337970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35</v>
      </c>
      <c r="B55" s="55">
        <f>IF(A55="","",VLOOKUP(A55,$A$12:$B$50,2,FALSE))</f>
        <v>86</v>
      </c>
      <c r="C55" s="55">
        <v>39464</v>
      </c>
      <c r="D55" s="55"/>
      <c r="E55" s="55">
        <v>1200</v>
      </c>
      <c r="F55" s="55"/>
      <c r="G55" s="55"/>
      <c r="H55" s="55"/>
      <c r="I55" s="55"/>
      <c r="J55" s="128">
        <f>SUM(C55:I55)</f>
        <v>40664</v>
      </c>
      <c r="K55" s="55"/>
      <c r="L55" s="56"/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9">
        <v>434232</v>
      </c>
      <c r="D56" s="59"/>
      <c r="E56" s="59">
        <v>44920</v>
      </c>
      <c r="F56" s="59"/>
      <c r="G56" s="59"/>
      <c r="H56" s="59"/>
      <c r="I56" s="59"/>
      <c r="J56" s="128">
        <f>SUM(C56:I56)</f>
        <v>479152</v>
      </c>
      <c r="K56" s="59"/>
      <c r="L56" s="60"/>
      <c r="M56" s="129"/>
      <c r="N56" s="112"/>
      <c r="O56" s="114"/>
      <c r="P56" s="130"/>
    </row>
    <row r="57" spans="1:16" s="46" customFormat="1" ht="12.75">
      <c r="A57" s="58" t="s">
        <v>62</v>
      </c>
      <c r="B57" s="59">
        <f>IF(A57="","",VLOOKUP(A57,$A$12:$B$50,2,FALSE))</f>
        <v>119</v>
      </c>
      <c r="C57" s="59">
        <v>75400</v>
      </c>
      <c r="D57" s="59"/>
      <c r="E57" s="59">
        <v>7800</v>
      </c>
      <c r="F57" s="59"/>
      <c r="G57" s="59"/>
      <c r="H57" s="59"/>
      <c r="I57" s="59"/>
      <c r="J57" s="128">
        <f>SUM(C57:I57)</f>
        <v>83200</v>
      </c>
      <c r="K57" s="59"/>
      <c r="L57" s="60"/>
      <c r="M57" s="129"/>
      <c r="N57" s="112"/>
      <c r="O57" s="114"/>
      <c r="P57" s="130"/>
    </row>
    <row r="58" spans="1:16" ht="12.75">
      <c r="A58" s="58" t="s">
        <v>63</v>
      </c>
      <c r="B58" s="59">
        <f>IF(A58="","",VLOOKUP(A58,$A$12:$B$50,2,FALSE))</f>
        <v>120</v>
      </c>
      <c r="C58" s="59">
        <v>459498</v>
      </c>
      <c r="D58" s="59"/>
      <c r="E58" s="59">
        <v>34880</v>
      </c>
      <c r="F58" s="59"/>
      <c r="G58" s="59"/>
      <c r="H58" s="59"/>
      <c r="I58" s="59"/>
      <c r="J58" s="128">
        <f>SUM(C58:I58)</f>
        <v>494378</v>
      </c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230</v>
      </c>
      <c r="C60" s="174"/>
      <c r="D60" s="174"/>
      <c r="E60" s="174"/>
      <c r="F60" s="62"/>
    </row>
    <row r="61" spans="8:9" ht="12.75">
      <c r="H61" s="173" t="s">
        <v>216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94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171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5" ySplit="19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133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84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7" t="s">
        <v>121</v>
      </c>
      <c r="N7" s="169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/>
      <c r="I22" s="41"/>
      <c r="J22" s="41">
        <f>0+0</f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1407219</v>
      </c>
      <c r="D23" s="41">
        <v>208064</v>
      </c>
      <c r="E23" s="41">
        <v>0</v>
      </c>
      <c r="F23" s="41">
        <v>0</v>
      </c>
      <c r="G23" s="41">
        <v>150914</v>
      </c>
      <c r="H23" s="41"/>
      <c r="I23" s="41"/>
      <c r="J23" s="41">
        <f>0+138868</f>
        <v>138868</v>
      </c>
      <c r="K23" s="42">
        <f t="shared" si="0"/>
        <v>1905065</v>
      </c>
      <c r="L23" s="41">
        <v>65255</v>
      </c>
      <c r="M23" s="41">
        <v>16</v>
      </c>
      <c r="N23" s="41">
        <v>15</v>
      </c>
    </row>
    <row r="24" spans="1:14" ht="12.75">
      <c r="A24" s="39" t="s">
        <v>32</v>
      </c>
      <c r="B24" s="40">
        <v>83</v>
      </c>
      <c r="C24" s="41">
        <v>674557</v>
      </c>
      <c r="D24" s="41">
        <v>78465</v>
      </c>
      <c r="E24" s="41">
        <v>0</v>
      </c>
      <c r="F24" s="41">
        <v>0</v>
      </c>
      <c r="G24" s="41">
        <v>78843</v>
      </c>
      <c r="H24" s="41"/>
      <c r="I24" s="41"/>
      <c r="J24" s="41">
        <f>48381+70419</f>
        <v>118800</v>
      </c>
      <c r="K24" s="42">
        <f t="shared" si="0"/>
        <v>950665</v>
      </c>
      <c r="L24" s="41">
        <v>19360</v>
      </c>
      <c r="M24" s="41">
        <v>9</v>
      </c>
      <c r="N24" s="41">
        <v>9</v>
      </c>
    </row>
    <row r="25" spans="1:14" ht="12.75">
      <c r="A25" s="39" t="s">
        <v>33</v>
      </c>
      <c r="B25" s="40">
        <v>84</v>
      </c>
      <c r="C25" s="41">
        <v>1760179</v>
      </c>
      <c r="D25" s="41">
        <v>279577</v>
      </c>
      <c r="E25" s="41">
        <v>0</v>
      </c>
      <c r="F25" s="41">
        <v>9800</v>
      </c>
      <c r="G25" s="41">
        <v>0</v>
      </c>
      <c r="H25" s="41"/>
      <c r="I25" s="41"/>
      <c r="J25" s="41">
        <f>0+179821</f>
        <v>179821</v>
      </c>
      <c r="K25" s="42">
        <f t="shared" si="0"/>
        <v>2229377</v>
      </c>
      <c r="L25" s="41">
        <v>46345</v>
      </c>
      <c r="M25" s="41">
        <v>20</v>
      </c>
      <c r="N25" s="41">
        <v>24</v>
      </c>
    </row>
    <row r="26" spans="1:14" ht="12.75">
      <c r="A26" s="39" t="s">
        <v>34</v>
      </c>
      <c r="B26" s="40">
        <v>85</v>
      </c>
      <c r="C26" s="41">
        <v>185700</v>
      </c>
      <c r="D26" s="41">
        <v>21500</v>
      </c>
      <c r="E26" s="41">
        <v>0</v>
      </c>
      <c r="F26" s="41">
        <v>0</v>
      </c>
      <c r="G26" s="41">
        <v>0</v>
      </c>
      <c r="H26" s="41"/>
      <c r="I26" s="41"/>
      <c r="J26" s="41">
        <f>0+0</f>
        <v>0</v>
      </c>
      <c r="K26" s="42">
        <f t="shared" si="0"/>
        <v>207200</v>
      </c>
      <c r="L26" s="41">
        <v>0</v>
      </c>
      <c r="M26" s="41">
        <v>1</v>
      </c>
      <c r="N26" s="41">
        <v>0</v>
      </c>
    </row>
    <row r="27" spans="1:14" ht="12.75">
      <c r="A27" s="39" t="s">
        <v>35</v>
      </c>
      <c r="B27" s="40">
        <v>86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/>
      <c r="I27" s="41"/>
      <c r="J27" s="41">
        <f>0+17267</f>
        <v>17267</v>
      </c>
      <c r="K27" s="42">
        <f t="shared" si="0"/>
        <v>17267</v>
      </c>
      <c r="L27" s="41">
        <v>0</v>
      </c>
      <c r="M27" s="41">
        <v>0</v>
      </c>
      <c r="N27" s="41">
        <v>2</v>
      </c>
    </row>
    <row r="28" spans="1:14" ht="12.75">
      <c r="A28" s="39" t="s">
        <v>36</v>
      </c>
      <c r="B28" s="40">
        <v>87</v>
      </c>
      <c r="C28" s="41">
        <v>1008400</v>
      </c>
      <c r="D28" s="41">
        <v>113300</v>
      </c>
      <c r="E28" s="41">
        <v>0</v>
      </c>
      <c r="F28" s="41">
        <v>0</v>
      </c>
      <c r="G28" s="41">
        <v>75468</v>
      </c>
      <c r="H28" s="41"/>
      <c r="I28" s="41"/>
      <c r="J28" s="41">
        <f>0+61488</f>
        <v>61488</v>
      </c>
      <c r="K28" s="42">
        <f t="shared" si="0"/>
        <v>1258656</v>
      </c>
      <c r="L28" s="41">
        <v>0</v>
      </c>
      <c r="M28" s="41">
        <v>6</v>
      </c>
      <c r="N28" s="41">
        <v>3</v>
      </c>
    </row>
    <row r="29" spans="1:14" ht="12.75">
      <c r="A29" s="39" t="s">
        <v>37</v>
      </c>
      <c r="B29" s="40">
        <v>88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/>
      <c r="I29" s="41"/>
      <c r="J29" s="41">
        <f>0+70351</f>
        <v>70351</v>
      </c>
      <c r="K29" s="42">
        <f t="shared" si="0"/>
        <v>70351</v>
      </c>
      <c r="L29" s="41">
        <v>0</v>
      </c>
      <c r="M29" s="41">
        <v>0</v>
      </c>
      <c r="N29" s="41">
        <v>4</v>
      </c>
    </row>
    <row r="30" spans="1:14" ht="12.75">
      <c r="A30" s="39" t="s">
        <v>40</v>
      </c>
      <c r="B30" s="40">
        <v>89</v>
      </c>
      <c r="C30" s="41">
        <v>494288</v>
      </c>
      <c r="D30" s="41">
        <v>111594</v>
      </c>
      <c r="E30" s="41">
        <v>0</v>
      </c>
      <c r="F30" s="41">
        <v>44100</v>
      </c>
      <c r="G30" s="41">
        <v>39200</v>
      </c>
      <c r="H30" s="41"/>
      <c r="I30" s="41"/>
      <c r="J30" s="41">
        <f>0+12128</f>
        <v>12128</v>
      </c>
      <c r="K30" s="42">
        <f t="shared" si="0"/>
        <v>701310</v>
      </c>
      <c r="L30" s="41">
        <v>0</v>
      </c>
      <c r="M30" s="41">
        <v>3</v>
      </c>
      <c r="N30" s="41">
        <v>1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/>
      <c r="I31" s="41"/>
      <c r="J31" s="41">
        <f>0+0</f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5530343</v>
      </c>
      <c r="D32" s="45">
        <f aca="true" t="shared" si="1" ref="D32:J32">SUM(D12:D31)</f>
        <v>812500</v>
      </c>
      <c r="E32" s="45">
        <f t="shared" si="1"/>
        <v>0</v>
      </c>
      <c r="F32" s="45">
        <f t="shared" si="1"/>
        <v>53900</v>
      </c>
      <c r="G32" s="45">
        <f t="shared" si="1"/>
        <v>344425</v>
      </c>
      <c r="H32" s="45">
        <f t="shared" si="1"/>
        <v>0</v>
      </c>
      <c r="I32" s="45">
        <f t="shared" si="1"/>
        <v>0</v>
      </c>
      <c r="J32" s="45">
        <f t="shared" si="1"/>
        <v>598723</v>
      </c>
      <c r="K32" s="42">
        <f t="shared" si="0"/>
        <v>7339891</v>
      </c>
      <c r="L32" s="45">
        <f>SUM(L12:L31)</f>
        <v>130960</v>
      </c>
      <c r="M32" s="45">
        <f>SUM(M12:M31)</f>
        <v>55</v>
      </c>
      <c r="N32" s="45">
        <f>SUM(N12:N31)</f>
        <v>58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677120</v>
      </c>
      <c r="D42" s="41">
        <v>58512</v>
      </c>
      <c r="E42" s="41">
        <v>203136</v>
      </c>
      <c r="F42" s="41">
        <v>22080</v>
      </c>
      <c r="G42" s="41">
        <v>209760</v>
      </c>
      <c r="H42" s="41">
        <v>0</v>
      </c>
      <c r="I42" s="41"/>
      <c r="J42" s="41">
        <f>0+97550</f>
        <v>97550</v>
      </c>
      <c r="K42" s="42">
        <f t="shared" si="0"/>
        <v>1268158</v>
      </c>
      <c r="L42" s="41">
        <v>0</v>
      </c>
      <c r="M42" s="41">
        <v>3</v>
      </c>
      <c r="N42" s="41">
        <v>2</v>
      </c>
    </row>
    <row r="43" spans="1:14" ht="12.75">
      <c r="A43" s="48" t="s">
        <v>60</v>
      </c>
      <c r="B43" s="40">
        <v>114</v>
      </c>
      <c r="C43" s="41">
        <v>1380000</v>
      </c>
      <c r="D43" s="41">
        <v>133584</v>
      </c>
      <c r="E43" s="41">
        <v>414000</v>
      </c>
      <c r="F43" s="41">
        <v>86480</v>
      </c>
      <c r="G43" s="41">
        <v>286120</v>
      </c>
      <c r="H43" s="41">
        <v>4784</v>
      </c>
      <c r="I43" s="41"/>
      <c r="J43" s="41">
        <f>0+191682</f>
        <v>191682</v>
      </c>
      <c r="K43" s="42">
        <f t="shared" si="0"/>
        <v>2496650</v>
      </c>
      <c r="L43" s="41">
        <v>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2318400</v>
      </c>
      <c r="D44" s="41">
        <v>225952</v>
      </c>
      <c r="E44" s="41">
        <v>695520</v>
      </c>
      <c r="F44" s="41">
        <v>31280</v>
      </c>
      <c r="G44" s="41">
        <v>211784</v>
      </c>
      <c r="H44" s="41">
        <v>4784</v>
      </c>
      <c r="I44" s="41"/>
      <c r="J44" s="41">
        <f>70751+255652</f>
        <v>326403</v>
      </c>
      <c r="K44" s="42">
        <f t="shared" si="0"/>
        <v>3814123</v>
      </c>
      <c r="L44" s="41">
        <v>36800</v>
      </c>
      <c r="M44" s="41">
        <v>11</v>
      </c>
      <c r="N44" s="41">
        <v>9</v>
      </c>
    </row>
    <row r="45" spans="1:14" ht="12.75">
      <c r="A45" s="48" t="s">
        <v>62</v>
      </c>
      <c r="B45" s="40">
        <v>119</v>
      </c>
      <c r="C45" s="41">
        <v>9069360</v>
      </c>
      <c r="D45" s="41">
        <v>1072352</v>
      </c>
      <c r="E45" s="41">
        <v>2720808</v>
      </c>
      <c r="F45" s="41">
        <v>310960</v>
      </c>
      <c r="G45" s="41">
        <v>261188</v>
      </c>
      <c r="H45" s="41">
        <v>9568</v>
      </c>
      <c r="I45" s="41"/>
      <c r="J45" s="41">
        <f>207060+154992+1032626</f>
        <v>1394678</v>
      </c>
      <c r="K45" s="42">
        <f t="shared" si="0"/>
        <v>14838914</v>
      </c>
      <c r="L45" s="41">
        <v>474242</v>
      </c>
      <c r="M45" s="41">
        <f>50+1</f>
        <v>51</v>
      </c>
      <c r="N45" s="41">
        <v>43</v>
      </c>
    </row>
    <row r="46" spans="1:14" ht="12.75">
      <c r="A46" s="48" t="s">
        <v>63</v>
      </c>
      <c r="B46" s="40">
        <v>120</v>
      </c>
      <c r="C46" s="41">
        <v>31176084</v>
      </c>
      <c r="D46" s="41">
        <v>4494752</v>
      </c>
      <c r="E46" s="41">
        <v>4910379</v>
      </c>
      <c r="F46" s="41">
        <v>190440</v>
      </c>
      <c r="G46" s="41">
        <v>3089643</v>
      </c>
      <c r="H46" s="41">
        <v>86848</v>
      </c>
      <c r="I46" s="41"/>
      <c r="J46" s="41">
        <f>63769+8613+3284582</f>
        <v>3356964</v>
      </c>
      <c r="K46" s="42">
        <f t="shared" si="0"/>
        <v>47305110</v>
      </c>
      <c r="L46" s="41">
        <v>1097432</v>
      </c>
      <c r="M46" s="41">
        <f>312+1</f>
        <v>313</v>
      </c>
      <c r="N46" s="41">
        <v>307</v>
      </c>
    </row>
    <row r="47" spans="1:14" s="46" customFormat="1" ht="12.75">
      <c r="A47" s="44" t="s">
        <v>74</v>
      </c>
      <c r="B47" s="45">
        <v>121</v>
      </c>
      <c r="C47" s="45">
        <f>SUM(C40:C46)</f>
        <v>44620964</v>
      </c>
      <c r="D47" s="45">
        <f aca="true" t="shared" si="3" ref="D47:J47">SUM(D40:D46)</f>
        <v>5985152</v>
      </c>
      <c r="E47" s="45">
        <f t="shared" si="3"/>
        <v>8943843</v>
      </c>
      <c r="F47" s="45">
        <f t="shared" si="3"/>
        <v>641240</v>
      </c>
      <c r="G47" s="45">
        <f t="shared" si="3"/>
        <v>4058495</v>
      </c>
      <c r="H47" s="45">
        <f t="shared" si="3"/>
        <v>105984</v>
      </c>
      <c r="I47" s="45">
        <f t="shared" si="3"/>
        <v>0</v>
      </c>
      <c r="J47" s="45">
        <f t="shared" si="3"/>
        <v>5367277</v>
      </c>
      <c r="K47" s="42">
        <f t="shared" si="0"/>
        <v>69722955</v>
      </c>
      <c r="L47" s="45">
        <f>SUM(L40:L46)</f>
        <v>1608474</v>
      </c>
      <c r="M47" s="45">
        <f>SUM(M40:M46)</f>
        <v>383</v>
      </c>
      <c r="N47" s="45">
        <f>SUM(N40:N46)</f>
        <v>366</v>
      </c>
    </row>
    <row r="48" spans="1:14" s="46" customFormat="1" ht="12.75">
      <c r="A48" s="44" t="s">
        <v>119</v>
      </c>
      <c r="B48" s="45">
        <v>152</v>
      </c>
      <c r="C48" s="45">
        <f>C32+C39+C47</f>
        <v>50151307</v>
      </c>
      <c r="D48" s="45">
        <f aca="true" t="shared" si="4" ref="D48:J48">D32+D39+D47</f>
        <v>6797652</v>
      </c>
      <c r="E48" s="45">
        <f t="shared" si="4"/>
        <v>8943843</v>
      </c>
      <c r="F48" s="45">
        <f t="shared" si="4"/>
        <v>695140</v>
      </c>
      <c r="G48" s="45">
        <f t="shared" si="4"/>
        <v>4402920</v>
      </c>
      <c r="H48" s="45">
        <f t="shared" si="4"/>
        <v>105984</v>
      </c>
      <c r="I48" s="45">
        <f t="shared" si="4"/>
        <v>0</v>
      </c>
      <c r="J48" s="45">
        <f t="shared" si="4"/>
        <v>5966000</v>
      </c>
      <c r="K48" s="42">
        <f t="shared" si="0"/>
        <v>77062846</v>
      </c>
      <c r="L48" s="45">
        <f>L32+L39+L47</f>
        <v>1739434</v>
      </c>
      <c r="M48" s="45">
        <f>M32+M39+M47</f>
        <v>438</v>
      </c>
      <c r="N48" s="45">
        <f>N32+N39+N47</f>
        <v>424</v>
      </c>
    </row>
    <row r="49" spans="1:14" s="46" customFormat="1" ht="12.75">
      <c r="A49" s="44" t="s">
        <v>51</v>
      </c>
      <c r="B49" s="45">
        <v>158</v>
      </c>
      <c r="C49" s="49">
        <v>265800</v>
      </c>
      <c r="D49" s="49">
        <v>73195</v>
      </c>
      <c r="E49" s="49">
        <v>0</v>
      </c>
      <c r="F49" s="49">
        <v>0</v>
      </c>
      <c r="G49" s="49">
        <v>0</v>
      </c>
      <c r="H49" s="49">
        <v>0</v>
      </c>
      <c r="I49" s="49"/>
      <c r="J49" s="49">
        <f>0+28249</f>
        <v>28249</v>
      </c>
      <c r="K49" s="42">
        <f t="shared" si="0"/>
        <v>367244</v>
      </c>
      <c r="L49" s="49">
        <v>0</v>
      </c>
      <c r="M49" s="49">
        <v>4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50417107</v>
      </c>
      <c r="D50" s="45">
        <f t="shared" si="5"/>
        <v>6870847</v>
      </c>
      <c r="E50" s="45">
        <f t="shared" si="5"/>
        <v>8943843</v>
      </c>
      <c r="F50" s="45">
        <f t="shared" si="5"/>
        <v>695140</v>
      </c>
      <c r="G50" s="45">
        <f t="shared" si="5"/>
        <v>4402920</v>
      </c>
      <c r="H50" s="45">
        <f t="shared" si="5"/>
        <v>105984</v>
      </c>
      <c r="I50" s="45">
        <f t="shared" si="5"/>
        <v>0</v>
      </c>
      <c r="J50" s="45">
        <f t="shared" si="5"/>
        <v>5994249</v>
      </c>
      <c r="K50" s="42">
        <f t="shared" si="0"/>
        <v>77430090</v>
      </c>
      <c r="L50" s="45">
        <f>L48+L49</f>
        <v>1739434</v>
      </c>
      <c r="M50" s="45">
        <f>M48+M49</f>
        <v>442</v>
      </c>
      <c r="N50" s="45">
        <f>N48+N49</f>
        <v>426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9" t="s">
        <v>163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1"/>
    </row>
    <row r="53" spans="1:13" ht="12.75">
      <c r="A53" s="177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8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39" t="s">
        <v>32</v>
      </c>
      <c r="B55" s="40">
        <v>83</v>
      </c>
      <c r="C55" s="55">
        <v>-29115</v>
      </c>
      <c r="D55" s="55">
        <v>-6046</v>
      </c>
      <c r="E55" s="55">
        <v>0</v>
      </c>
      <c r="F55" s="55">
        <v>0</v>
      </c>
      <c r="G55" s="55">
        <v>0</v>
      </c>
      <c r="H55" s="55"/>
      <c r="I55" s="55"/>
      <c r="J55" s="55">
        <v>48381</v>
      </c>
      <c r="K55" s="42">
        <f>SUM(C55:J55)</f>
        <v>13220</v>
      </c>
      <c r="L55" s="55">
        <v>12730</v>
      </c>
      <c r="M55" s="56">
        <v>1</v>
      </c>
      <c r="N55" s="57"/>
      <c r="O55" s="43"/>
    </row>
    <row r="56" spans="1:15" ht="12.75">
      <c r="A56" s="58" t="s">
        <v>61</v>
      </c>
      <c r="B56" s="58">
        <v>115</v>
      </c>
      <c r="C56" s="59">
        <v>257600</v>
      </c>
      <c r="D56" s="59">
        <v>27600</v>
      </c>
      <c r="E56" s="59">
        <v>77280</v>
      </c>
      <c r="F56" s="59">
        <v>0</v>
      </c>
      <c r="G56" s="59">
        <v>-20240</v>
      </c>
      <c r="H56" s="59">
        <v>0</v>
      </c>
      <c r="I56" s="59"/>
      <c r="J56" s="59">
        <v>70751</v>
      </c>
      <c r="K56" s="42">
        <f>SUM(C56:J56)</f>
        <v>412991</v>
      </c>
      <c r="L56" s="59">
        <v>0</v>
      </c>
      <c r="M56" s="60">
        <v>2</v>
      </c>
      <c r="N56" s="57"/>
      <c r="O56" s="43"/>
    </row>
    <row r="57" spans="1:15" ht="12.75">
      <c r="A57" s="58" t="s">
        <v>62</v>
      </c>
      <c r="B57" s="58">
        <f>IF(A57="","",VLOOKUP(A57,$A$12:$B$50,2,FALSE))</f>
        <v>119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/>
      <c r="J57" s="59">
        <f>207060+154992</f>
        <v>362052</v>
      </c>
      <c r="K57" s="42">
        <f>SUM(C57:J57)</f>
        <v>362052</v>
      </c>
      <c r="L57" s="59">
        <v>0</v>
      </c>
      <c r="M57" s="60">
        <f>4+1</f>
        <v>5</v>
      </c>
      <c r="N57" s="57"/>
      <c r="O57" s="43"/>
    </row>
    <row r="58" spans="1:15" ht="12.75">
      <c r="A58" s="58" t="s">
        <v>63</v>
      </c>
      <c r="B58" s="58">
        <v>120</v>
      </c>
      <c r="C58" s="59">
        <v>-876</v>
      </c>
      <c r="D58" s="59">
        <v>-368</v>
      </c>
      <c r="E58" s="59">
        <v>-131</v>
      </c>
      <c r="F58" s="59">
        <v>0</v>
      </c>
      <c r="G58" s="59">
        <v>2629</v>
      </c>
      <c r="H58" s="59">
        <v>0</v>
      </c>
      <c r="I58" s="59"/>
      <c r="J58" s="59">
        <f>63769+8613</f>
        <v>72382</v>
      </c>
      <c r="K58" s="42">
        <f>SUM(C58:J58)</f>
        <v>73636</v>
      </c>
      <c r="L58" s="59">
        <v>53822</v>
      </c>
      <c r="M58" s="60">
        <f>13+1</f>
        <v>14</v>
      </c>
      <c r="N58" s="57"/>
      <c r="O58" s="43"/>
    </row>
    <row r="59" spans="1:15" ht="12.75">
      <c r="A59" s="111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32"/>
      <c r="O59" s="43"/>
    </row>
    <row r="60" spans="1:5" ht="12.75">
      <c r="A60" s="61" t="s">
        <v>21</v>
      </c>
      <c r="B60" s="174" t="s">
        <v>209</v>
      </c>
      <c r="C60" s="174"/>
      <c r="D60" s="174"/>
      <c r="E60" s="62"/>
    </row>
    <row r="61" spans="10:11" ht="12.75">
      <c r="J61" s="173" t="s">
        <v>214</v>
      </c>
      <c r="K61" s="173"/>
    </row>
    <row r="62" spans="10:11" ht="12.75">
      <c r="J62" s="172" t="s">
        <v>48</v>
      </c>
      <c r="K62" s="172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6:A5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95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172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96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173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97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174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98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175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3"/>
  <sheetViews>
    <sheetView zoomScale="75" zoomScaleNormal="75" zoomScalePageLayoutView="0" workbookViewId="0" topLeftCell="A43">
      <selection activeCell="B1" sqref="B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5" width="20.00390625" style="63" bestFit="1" customWidth="1"/>
    <col min="16" max="16" width="13.75390625" style="63" customWidth="1"/>
    <col min="17" max="17" width="9.125" style="63" customWidth="1"/>
    <col min="18" max="18" width="11.625" style="63" bestFit="1" customWidth="1"/>
    <col min="19" max="16384" width="9.125" style="63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201" t="s">
        <v>208</v>
      </c>
      <c r="L2" s="202"/>
    </row>
    <row r="3" spans="1:12" ht="12.75">
      <c r="A3" s="3"/>
      <c r="H3" s="4"/>
      <c r="I3" s="4"/>
      <c r="J3" s="5" t="s">
        <v>77</v>
      </c>
      <c r="K3" s="201" t="s">
        <v>227</v>
      </c>
      <c r="L3" s="202"/>
    </row>
    <row r="4" spans="1:7" ht="18" customHeight="1">
      <c r="A4" s="6"/>
      <c r="E4" s="203" t="s">
        <v>55</v>
      </c>
      <c r="F4" s="203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9" t="s">
        <v>82</v>
      </c>
      <c r="B5" s="189"/>
      <c r="C5" s="189"/>
      <c r="D5" s="189"/>
      <c r="E5" s="189"/>
      <c r="F5" s="189"/>
      <c r="G5" s="7" t="s">
        <v>83</v>
      </c>
      <c r="H5" s="188" t="s">
        <v>195</v>
      </c>
      <c r="I5" s="188"/>
      <c r="J5" s="188"/>
      <c r="K5" s="188"/>
      <c r="L5" s="188"/>
      <c r="M5" s="188"/>
      <c r="N5" s="188"/>
      <c r="O5" s="188"/>
      <c r="P5" s="188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91" t="s">
        <v>1</v>
      </c>
      <c r="D7" s="192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10978964</v>
      </c>
      <c r="D23" s="95">
        <f>'01'!D23+'13'!D23+'02'!D23+'03'!D23+'04'!D23+'05'!D23+'06'!D23+'07'!D23+'08'!D23+'09'!D23+'10'!D23+'11'!D23+'12'!D23</f>
        <v>1509408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1355164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961077</v>
      </c>
      <c r="K23" s="95">
        <f>'01'!K23+'13'!K23+'02'!K23+'03'!K23+'04'!K23+'05'!K23+'06'!K23+'07'!K23+'08'!K23+'09'!K23+'10'!K23+'11'!K23+'12'!K23</f>
        <v>14804613</v>
      </c>
      <c r="L23" s="95">
        <f>'01'!L23+'13'!L23+'02'!L23+'03'!L23+'04'!L23+'05'!L23+'06'!L23+'07'!L23+'08'!L23+'09'!L23+'10'!L23+'11'!L23+'12'!L23</f>
        <v>520308</v>
      </c>
      <c r="M23" s="142">
        <f>IF($G$4=0,0,('01'!M23+'13'!M23+'02'!M23+'03'!M23+'04'!M23+'05'!M23+'06'!M23+'07'!M23+'08'!M23+'09'!M23+'10'!M23+'11'!M23+'12'!M23)/$G$4)</f>
        <v>16.125</v>
      </c>
      <c r="N23" s="96">
        <v>39751866</v>
      </c>
      <c r="O23" s="97">
        <f t="shared" si="0"/>
        <v>0.37242561141658104</v>
      </c>
      <c r="P23" s="98">
        <f t="shared" si="1"/>
        <v>114764.44186046511</v>
      </c>
    </row>
    <row r="24" spans="1:18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6137307</v>
      </c>
      <c r="D24" s="95">
        <f>'01'!D24+'13'!D24+'02'!D24+'03'!D24+'04'!D24+'05'!D24+'06'!D24+'07'!D24+'08'!D24+'09'!D24+'10'!D24+'11'!D24+'12'!D24</f>
        <v>655226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449781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563266</v>
      </c>
      <c r="K24" s="95">
        <f>'01'!K24+'13'!K24+'02'!K24+'03'!K24+'04'!K24+'05'!K24+'06'!K24+'07'!K24+'08'!K24+'09'!K24+'10'!K24+'11'!K24+'12'!K24</f>
        <v>7805580</v>
      </c>
      <c r="L24" s="95">
        <f>'01'!L24+'13'!L24+'02'!L24+'03'!L24+'04'!L24+'05'!L24+'06'!L24+'07'!L24+'08'!L24+'09'!L24+'10'!L24+'11'!L24+'12'!L24</f>
        <v>201017</v>
      </c>
      <c r="M24" s="142">
        <f>IF($G$4=0,0,('01'!M24+'13'!M24+'02'!M24+'03'!M24+'04'!M24+'05'!M24+'06'!M24+'07'!M24+'08'!M24+'09'!M24+'10'!M24+'11'!M24+'12'!M24)/$G$4)</f>
        <v>8.5</v>
      </c>
      <c r="N24" s="96">
        <v>20954472</v>
      </c>
      <c r="O24" s="97">
        <f t="shared" si="0"/>
        <v>0.37250186976794264</v>
      </c>
      <c r="P24" s="98">
        <f t="shared" si="1"/>
        <v>114787.94117647059</v>
      </c>
      <c r="R24" s="163"/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16166115</v>
      </c>
      <c r="D25" s="95">
        <f>'01'!D25+'13'!D25+'02'!D25+'03'!D25+'04'!D25+'05'!D25+'06'!D25+'07'!D25+'08'!D25+'09'!D25+'10'!D25+'11'!D25+'12'!D25</f>
        <v>2206008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14148</v>
      </c>
      <c r="G25" s="95">
        <f>'01'!G25+'13'!G25+'02'!G25+'03'!G25+'04'!G25+'05'!G25+'06'!G25+'07'!G25+'08'!G25+'09'!G25+'10'!G25+'11'!G25+'12'!G25</f>
        <v>32928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1305169</v>
      </c>
      <c r="K25" s="95">
        <f>'01'!K25+'13'!K25+'02'!K25+'03'!K25+'04'!K25+'05'!K25+'06'!K25+'07'!K25+'08'!K25+'09'!K25+'10'!K25+'11'!K25+'12'!K25</f>
        <v>19724368</v>
      </c>
      <c r="L25" s="95">
        <f>'01'!L25+'13'!L25+'02'!L25+'03'!L25+'04'!L25+'05'!L25+'06'!L25+'07'!L25+'08'!L25+'09'!L25+'10'!L25+'11'!L25+'12'!L25</f>
        <v>607081</v>
      </c>
      <c r="M25" s="142">
        <f>IF($G$4=0,0,('01'!M25+'13'!M25+'02'!M25+'03'!M25+'04'!M25+'05'!M25+'06'!M25+'07'!M25+'08'!M25+'09'!M25+'10'!M25+'11'!M25+'12'!M25)/$G$4)</f>
        <v>23.625</v>
      </c>
      <c r="N25" s="96">
        <v>58241106</v>
      </c>
      <c r="O25" s="97">
        <f t="shared" si="0"/>
        <v>0.3386674696733953</v>
      </c>
      <c r="P25" s="98">
        <f t="shared" si="1"/>
        <v>104361.73544973545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645164</v>
      </c>
      <c r="D26" s="95">
        <f>'01'!D26+'13'!D26+'02'!D26+'03'!D26+'04'!D26+'05'!D26+'06'!D26+'07'!D26+'08'!D26+'09'!D26+'10'!D26+'11'!D26+'12'!D26</f>
        <v>57142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10076</v>
      </c>
      <c r="K26" s="95">
        <f>'01'!K26+'13'!K26+'02'!K26+'03'!K26+'04'!K26+'05'!K26+'06'!K26+'07'!K26+'08'!K26+'09'!K26+'10'!K26+'11'!K26+'12'!K26</f>
        <v>712382</v>
      </c>
      <c r="L26" s="95">
        <f>'01'!L26+'13'!L26+'02'!L26+'03'!L26+'04'!L26+'05'!L26+'06'!L26+'07'!L26+'08'!L26+'09'!L26+'10'!L26+'11'!L26+'12'!L26</f>
        <v>8077</v>
      </c>
      <c r="M26" s="142">
        <f>IF($G$4=0,0,('01'!M26+'13'!M26+'02'!M26+'03'!M26+'04'!M26+'05'!M26+'06'!M26+'07'!M26+'08'!M26+'09'!M26+'10'!M26+'11'!M26+'12'!M26)/$G$4)</f>
        <v>0.625</v>
      </c>
      <c r="N26" s="96">
        <v>1540770</v>
      </c>
      <c r="O26" s="97">
        <f t="shared" si="0"/>
        <v>0.4623545370172057</v>
      </c>
      <c r="P26" s="98">
        <f t="shared" si="1"/>
        <v>142476.4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2159051</v>
      </c>
      <c r="D27" s="95">
        <f>'01'!D27+'13'!D27+'02'!D27+'03'!D27+'04'!D27+'05'!D27+'06'!D27+'07'!D27+'08'!D27+'09'!D27+'10'!D27+'11'!D27+'12'!D27</f>
        <v>251000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80000</v>
      </c>
      <c r="G27" s="95">
        <f>'01'!G27+'13'!G27+'02'!G27+'03'!G27+'04'!G27+'05'!G27+'06'!G27+'07'!G27+'08'!G27+'09'!G27+'10'!G27+'11'!G27+'12'!G27</f>
        <v>5382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229566</v>
      </c>
      <c r="K27" s="95">
        <f>'01'!K27+'13'!K27+'02'!K27+'03'!K27+'04'!K27+'05'!K27+'06'!K27+'07'!K27+'08'!K27+'09'!K27+'10'!K27+'11'!K27+'12'!K27</f>
        <v>2724999</v>
      </c>
      <c r="L27" s="95">
        <f>'01'!L27+'13'!L27+'02'!L27+'03'!L27+'04'!L27+'05'!L27+'06'!L27+'07'!L27+'08'!L27+'09'!L27+'10'!L27+'11'!L27+'12'!L27</f>
        <v>40055</v>
      </c>
      <c r="M27" s="142">
        <f>IF($G$4=0,0,('01'!M27+'13'!M27+'02'!M27+'03'!M27+'04'!M27+'05'!M27+'06'!M27+'07'!M27+'08'!M27+'09'!M27+'10'!M27+'11'!M27+'12'!M27)/$G$4)</f>
        <v>1.875</v>
      </c>
      <c r="N27" s="96">
        <v>4622310</v>
      </c>
      <c r="O27" s="97">
        <f t="shared" si="0"/>
        <v>0.5895318574478994</v>
      </c>
      <c r="P27" s="98">
        <f t="shared" si="1"/>
        <v>181666.6</v>
      </c>
    </row>
    <row r="28" spans="1:18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5092316</v>
      </c>
      <c r="D28" s="95">
        <f>'01'!D28+'13'!D28+'02'!D28+'03'!D28+'04'!D28+'05'!D28+'06'!D28+'07'!D28+'08'!D28+'09'!D28+'10'!D28+'11'!D28+'12'!D28</f>
        <v>577943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418165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397532</v>
      </c>
      <c r="K28" s="95">
        <f>'01'!K28+'13'!K28+'02'!K28+'03'!K28+'04'!K28+'05'!K28+'06'!K28+'07'!K28+'08'!K28+'09'!K28+'10'!K28+'11'!K28+'12'!K28</f>
        <v>6485956</v>
      </c>
      <c r="L28" s="95">
        <f>'01'!L28+'13'!L28+'02'!L28+'03'!L28+'04'!L28+'05'!L28+'06'!L28+'07'!L28+'08'!L28+'09'!L28+'10'!L28+'11'!L28+'12'!L28</f>
        <v>45000</v>
      </c>
      <c r="M28" s="142">
        <f>IF($G$4=0,0,('01'!M28+'13'!M28+'02'!M28+'03'!M28+'04'!M28+'05'!M28+'06'!M28+'07'!M28+'08'!M28+'09'!M28+'10'!M28+'11'!M28+'12'!M28)/$G$4)</f>
        <v>4.25</v>
      </c>
      <c r="N28" s="96">
        <v>10477236</v>
      </c>
      <c r="O28" s="97">
        <f t="shared" si="0"/>
        <v>0.619052200408581</v>
      </c>
      <c r="P28" s="98">
        <f t="shared" si="1"/>
        <v>190763.41176470587</v>
      </c>
      <c r="R28" s="163"/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3481536</v>
      </c>
      <c r="D29" s="95">
        <f>'01'!D29+'13'!D29+'02'!D29+'03'!D29+'04'!D29+'05'!D29+'06'!D29+'07'!D29+'08'!D29+'09'!D29+'10'!D29+'11'!D29+'12'!D29</f>
        <v>611941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180000</v>
      </c>
      <c r="G29" s="95">
        <f>'01'!G29+'13'!G29+'02'!G29+'03'!G29+'04'!G29+'05'!G29+'06'!G29+'07'!G29+'08'!G29+'09'!G29+'10'!G29+'11'!G29+'12'!G29</f>
        <v>275200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429277</v>
      </c>
      <c r="K29" s="95">
        <f>'01'!K29+'13'!K29+'02'!K29+'03'!K29+'04'!K29+'05'!K29+'06'!K29+'07'!K29+'08'!K29+'09'!K29+'10'!K29+'11'!K29+'12'!K29</f>
        <v>4977954</v>
      </c>
      <c r="L29" s="95">
        <f>'01'!L29+'13'!L29+'02'!L29+'03'!L29+'04'!L29+'05'!L29+'06'!L29+'07'!L29+'08'!L29+'09'!L29+'10'!L29+'11'!L29+'12'!L29</f>
        <v>45000</v>
      </c>
      <c r="M29" s="142">
        <f>IF($G$4=0,0,('01'!M29+'13'!M29+'02'!M29+'03'!M29+'04'!M29+'05'!M29+'06'!M29+'07'!M29+'08'!M29+'09'!M29+'10'!M29+'11'!M29+'12'!M29)/$G$4)</f>
        <v>2.5</v>
      </c>
      <c r="N29" s="96">
        <v>6163080</v>
      </c>
      <c r="O29" s="97">
        <f t="shared" si="0"/>
        <v>0.8077055628030141</v>
      </c>
      <c r="P29" s="98">
        <f t="shared" si="1"/>
        <v>248897.7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1252522</v>
      </c>
      <c r="D30" s="95">
        <f>'01'!D30+'13'!D30+'02'!D30+'03'!D30+'04'!D30+'05'!D30+'06'!D30+'07'!D30+'08'!D30+'09'!D30+'10'!D30+'11'!D30+'12'!D30</f>
        <v>184344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44100</v>
      </c>
      <c r="G30" s="95">
        <f>'01'!G30+'13'!G30+'02'!G30+'03'!G30+'04'!G30+'05'!G30+'06'!G30+'07'!G30+'08'!G30+'09'!G30+'10'!G30+'11'!G30+'12'!G30</f>
        <v>39200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58608</v>
      </c>
      <c r="K30" s="95">
        <f>'01'!K30+'13'!K30+'02'!K30+'03'!K30+'04'!K30+'05'!K30+'06'!K30+'07'!K30+'08'!K30+'09'!K30+'10'!K30+'11'!K30+'12'!K30</f>
        <v>1578774</v>
      </c>
      <c r="L30" s="95">
        <f>'01'!L30+'13'!L30+'02'!L30+'03'!L30+'04'!L30+'05'!L30+'06'!L30+'07'!L30+'08'!L30+'09'!L30+'10'!L30+'11'!L30+'12'!L30</f>
        <v>128793</v>
      </c>
      <c r="M30" s="142">
        <f>IF($G$4=0,0,('01'!M30+'13'!M30+'02'!M30+'03'!M30+'04'!M30+'05'!M30+'06'!M30+'07'!M30+'08'!M30+'09'!M30+'10'!M30+'11'!M30+'12'!M30)/$G$4)</f>
        <v>1.125</v>
      </c>
      <c r="N30" s="96">
        <v>2773386</v>
      </c>
      <c r="O30" s="97">
        <f t="shared" si="0"/>
        <v>0.5692586607129336</v>
      </c>
      <c r="P30" s="98">
        <f t="shared" si="1"/>
        <v>175419.33333333334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45912975</v>
      </c>
      <c r="D32" s="141">
        <f t="shared" si="2"/>
        <v>6053012</v>
      </c>
      <c r="E32" s="141">
        <f t="shared" si="2"/>
        <v>0</v>
      </c>
      <c r="F32" s="141">
        <f t="shared" si="2"/>
        <v>318248</v>
      </c>
      <c r="G32" s="141">
        <f t="shared" si="2"/>
        <v>2575820</v>
      </c>
      <c r="H32" s="141">
        <f t="shared" si="2"/>
        <v>0</v>
      </c>
      <c r="I32" s="141">
        <f t="shared" si="2"/>
        <v>0</v>
      </c>
      <c r="J32" s="141">
        <f t="shared" si="2"/>
        <v>3954571</v>
      </c>
      <c r="K32" s="141">
        <f t="shared" si="2"/>
        <v>58814626</v>
      </c>
      <c r="L32" s="141">
        <f t="shared" si="2"/>
        <v>1595331</v>
      </c>
      <c r="M32" s="143">
        <f>SUM(M12:M31)</f>
        <v>58.625</v>
      </c>
      <c r="N32" s="141">
        <f>SUM(N12:N31)</f>
        <v>144524226</v>
      </c>
      <c r="O32" s="97">
        <f t="shared" si="0"/>
        <v>0.40695340586013584</v>
      </c>
      <c r="P32" s="98">
        <f t="shared" si="1"/>
        <v>125404.3198294243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4972828</v>
      </c>
      <c r="D42" s="95">
        <f>'01'!D42+'13'!D42+'02'!D42+'03'!D42+'04'!D42+'05'!D42+'06'!D42+'07'!D42+'08'!D42+'09'!D42+'10'!D42+'11'!D42+'12'!D42</f>
        <v>427236</v>
      </c>
      <c r="E42" s="95">
        <f>'01'!E42+'13'!E42+'02'!E42+'03'!E42+'04'!E42+'05'!E42+'06'!E42+'07'!E42+'08'!E42+'09'!E42+'10'!E42+'11'!E42+'12'!E42</f>
        <v>1316256</v>
      </c>
      <c r="F42" s="95">
        <f>'01'!F42+'13'!F42+'02'!F42+'03'!F42+'04'!F42+'05'!F42+'06'!F42+'07'!F42+'08'!F42+'09'!F42+'10'!F42+'11'!F42+'12'!F42</f>
        <v>161220</v>
      </c>
      <c r="G42" s="95">
        <f>'01'!G42+'13'!G42+'02'!G42+'03'!G42+'04'!G42+'05'!G42+'06'!G42+'07'!G42+'08'!G42+'09'!G42+'10'!G42+'11'!G42+'12'!G42</f>
        <v>1364622</v>
      </c>
      <c r="H42" s="95">
        <f>'01'!H42+'13'!H42+'02'!H42+'03'!H42+'04'!H42+'05'!H42+'06'!H42+'07'!H42+'08'!H42+'09'!H42+'10'!H42+'11'!H42+'12'!H42</f>
        <v>24643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638066</v>
      </c>
      <c r="K42" s="95">
        <f>'01'!K42+'13'!K42+'02'!K42+'03'!K42+'04'!K42+'05'!K42+'06'!K42+'07'!K42+'08'!K42+'09'!K42+'10'!K42+'11'!K42+'12'!K42</f>
        <v>8904871</v>
      </c>
      <c r="L42" s="95">
        <f>'01'!L42+'13'!L42+'02'!L42+'03'!L42+'04'!L42+'05'!L42+'06'!L42+'07'!L42+'08'!L42+'09'!L42+'10'!L42+'11'!L42+'12'!L42</f>
        <v>30000</v>
      </c>
      <c r="M42" s="142">
        <f>IF($G$4=0,0,('01'!M42+'13'!M42+'02'!M42+'03'!M42+'04'!M42+'05'!M42+'06'!M42+'07'!M42+'08'!M42+'09'!M42+'10'!M42+'11'!M42+'12'!M42)/$G$4)</f>
        <v>2.125</v>
      </c>
      <c r="N42" s="96">
        <v>10341992</v>
      </c>
      <c r="O42" s="97">
        <f t="shared" si="0"/>
        <v>0.8610402135294631</v>
      </c>
      <c r="P42" s="98">
        <f t="shared" si="1"/>
        <v>523815.9411764706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11217204</v>
      </c>
      <c r="D43" s="95">
        <f>'01'!D43+'13'!D43+'02'!D43+'03'!D43+'04'!D43+'05'!D43+'06'!D43+'07'!D43+'08'!D43+'09'!D43+'10'!D43+'11'!D43+'12'!D43</f>
        <v>975396</v>
      </c>
      <c r="E43" s="95">
        <f>'01'!E43+'13'!E43+'02'!E43+'03'!E43+'04'!E43+'05'!E43+'06'!E43+'07'!E43+'08'!E43+'09'!E43+'10'!E43+'11'!E43+'12'!E43</f>
        <v>3022890</v>
      </c>
      <c r="F43" s="95">
        <f>'01'!F43+'13'!F43+'02'!F43+'03'!F43+'04'!F43+'05'!F43+'06'!F43+'07'!F43+'08'!F43+'09'!F43+'10'!F43+'11'!F43+'12'!F43</f>
        <v>631448</v>
      </c>
      <c r="G43" s="95">
        <f>'01'!G43+'13'!G43+'02'!G43+'03'!G43+'04'!G43+'05'!G43+'06'!G43+'07'!G43+'08'!G43+'09'!G43+'10'!G43+'11'!G43+'12'!G43</f>
        <v>2089144</v>
      </c>
      <c r="H43" s="95">
        <f>'01'!H43+'13'!H43+'02'!H43+'03'!H43+'04'!H43+'05'!H43+'06'!H43+'07'!H43+'08'!H43+'09'!H43+'10'!H43+'11'!H43+'12'!H43</f>
        <v>34211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1399596</v>
      </c>
      <c r="K43" s="95">
        <f>'01'!K43+'13'!K43+'02'!K43+'03'!K43+'04'!K43+'05'!K43+'06'!K43+'07'!K43+'08'!K43+'09'!K43+'10'!K43+'11'!K43+'12'!K43</f>
        <v>19369889</v>
      </c>
      <c r="L43" s="95">
        <f>'01'!L43+'13'!L43+'02'!L43+'03'!L43+'04'!L43+'05'!L43+'06'!L43+'07'!L43+'08'!L43+'09'!L43+'10'!L43+'11'!L43+'12'!L43</f>
        <v>75000</v>
      </c>
      <c r="M43" s="142">
        <f>IF($G$4=0,0,('01'!M43+'13'!M43+'02'!M43+'03'!M43+'04'!M43+'05'!M43+'06'!M43+'07'!M43+'08'!M43+'09'!M43+'10'!M43+'11'!M43+'12'!M43)/$G$4)</f>
        <v>5</v>
      </c>
      <c r="N43" s="96">
        <v>20683984</v>
      </c>
      <c r="O43" s="97">
        <f t="shared" si="0"/>
        <v>0.9364679937868836</v>
      </c>
      <c r="P43" s="98">
        <f t="shared" si="1"/>
        <v>484247.225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16023723</v>
      </c>
      <c r="D44" s="95">
        <f>'01'!D44+'13'!D44+'02'!D44+'03'!D44+'04'!D44+'05'!D44+'06'!D44+'07'!D44+'08'!D44+'09'!D44+'10'!D44+'11'!D44+'12'!D44</f>
        <v>1433583</v>
      </c>
      <c r="E44" s="95">
        <f>'01'!E44+'13'!E44+'02'!E44+'03'!E44+'04'!E44+'05'!E44+'06'!E44+'07'!E44+'08'!E44+'09'!E44+'10'!E44+'11'!E44+'12'!E44</f>
        <v>4394325</v>
      </c>
      <c r="F44" s="95">
        <f>'01'!F44+'13'!F44+'02'!F44+'03'!F44+'04'!F44+'05'!F44+'06'!F44+'07'!F44+'08'!F44+'09'!F44+'10'!F44+'11'!F44+'12'!F44</f>
        <v>209906</v>
      </c>
      <c r="G44" s="95">
        <f>'01'!G44+'13'!G44+'02'!G44+'03'!G44+'04'!G44+'05'!G44+'06'!G44+'07'!G44+'08'!G44+'09'!G44+'10'!G44+'11'!G44+'12'!G44</f>
        <v>1634382</v>
      </c>
      <c r="H44" s="95">
        <f>'01'!H44+'13'!H44+'02'!H44+'03'!H44+'04'!H44+'05'!H44+'06'!H44+'07'!H44+'08'!H44+'09'!H44+'10'!H44+'11'!H44+'12'!H44</f>
        <v>19859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1571347</v>
      </c>
      <c r="K44" s="95">
        <f>'01'!K44+'13'!K44+'02'!K44+'03'!K44+'04'!K44+'05'!K44+'06'!K44+'07'!K44+'08'!K44+'09'!K44+'10'!K44+'11'!K44+'12'!K44</f>
        <v>25287125</v>
      </c>
      <c r="L44" s="95">
        <f>'01'!L44+'13'!L44+'02'!L44+'03'!L44+'04'!L44+'05'!L44+'06'!L44+'07'!L44+'08'!L44+'09'!L44+'10'!L44+'11'!L44+'12'!L44</f>
        <v>404950</v>
      </c>
      <c r="M44" s="142">
        <f>IF($G$4=0,0,('01'!M44+'13'!M44+'02'!M44+'03'!M44+'04'!M44+'05'!M44+'06'!M44+'07'!M44+'08'!M44+'09'!M44+'10'!M44+'11'!M44+'12'!M44)/$G$4)</f>
        <v>8.5</v>
      </c>
      <c r="N44" s="96">
        <v>25854980</v>
      </c>
      <c r="O44" s="97">
        <f t="shared" si="0"/>
        <v>0.9780369197732893</v>
      </c>
      <c r="P44" s="98">
        <f t="shared" si="1"/>
        <v>371869.48529411765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69547122</v>
      </c>
      <c r="D45" s="95">
        <f>'01'!D45+'13'!D45+'02'!D45+'03'!D45+'04'!D45+'05'!D45+'06'!D45+'07'!D45+'08'!D45+'09'!D45+'10'!D45+'11'!D45+'12'!D45</f>
        <v>7391750</v>
      </c>
      <c r="E45" s="95">
        <f>'01'!E45+'13'!E45+'02'!E45+'03'!E45+'04'!E45+'05'!E45+'06'!E45+'07'!E45+'08'!E45+'09'!E45+'10'!E45+'11'!E45+'12'!E45</f>
        <v>19031934</v>
      </c>
      <c r="F45" s="95">
        <f>'01'!F45+'13'!F45+'02'!F45+'03'!F45+'04'!F45+'05'!F45+'06'!F45+'07'!F45+'08'!F45+'09'!F45+'10'!F45+'11'!F45+'12'!F45</f>
        <v>2239632</v>
      </c>
      <c r="G45" s="95">
        <f>'01'!G45+'13'!G45+'02'!G45+'03'!G45+'04'!G45+'05'!G45+'06'!G45+'07'!G45+'08'!G45+'09'!G45+'10'!G45+'11'!G45+'12'!G45</f>
        <v>2174791</v>
      </c>
      <c r="H45" s="95">
        <f>'01'!H45+'13'!H45+'02'!H45+'03'!H45+'04'!H45+'05'!H45+'06'!H45+'07'!H45+'08'!H45+'09'!H45+'10'!H45+'11'!H45+'12'!H45</f>
        <v>59818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7717161</v>
      </c>
      <c r="K45" s="95">
        <f>'01'!K45+'13'!K45+'02'!K45+'03'!K45+'04'!K45+'05'!K45+'06'!K45+'07'!K45+'08'!K45+'09'!K45+'10'!K45+'11'!K45+'12'!K45</f>
        <v>108162208</v>
      </c>
      <c r="L45" s="95">
        <f>'01'!L45+'13'!L45+'02'!L45+'03'!L45+'04'!L45+'05'!L45+'06'!L45+'07'!L45+'08'!L45+'09'!L45+'10'!L45+'11'!L45+'12'!L45</f>
        <v>2727267</v>
      </c>
      <c r="M45" s="142">
        <f>IF($G$4=0,0,('01'!M45+'13'!M45+'02'!M45+'03'!M45+'04'!M45+'05'!M45+'06'!M45+'07'!M45+'08'!M45+'09'!M45+'10'!M45+'11'!M45+'12'!M45)/$G$4)</f>
        <v>46.375</v>
      </c>
      <c r="N45" s="96">
        <v>113761912</v>
      </c>
      <c r="O45" s="97">
        <f t="shared" si="0"/>
        <v>0.9507769876441599</v>
      </c>
      <c r="P45" s="98">
        <f t="shared" si="1"/>
        <v>291542.3396226415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255016729</v>
      </c>
      <c r="D46" s="95">
        <f>'01'!D46+'13'!D46+'02'!D46+'03'!D46+'04'!D46+'05'!D46+'06'!D46+'07'!D46+'08'!D46+'09'!D46+'10'!D46+'11'!D46+'12'!D46</f>
        <v>33168831</v>
      </c>
      <c r="E46" s="95">
        <f>'01'!E46+'13'!E46+'02'!E46+'03'!E46+'04'!E46+'05'!E46+'06'!E46+'07'!E46+'08'!E46+'09'!E46+'10'!E46+'11'!E46+'12'!E46</f>
        <v>36434861</v>
      </c>
      <c r="F46" s="95">
        <f>'01'!F46+'13'!F46+'02'!F46+'03'!F46+'04'!F46+'05'!F46+'06'!F46+'07'!F46+'08'!F46+'09'!F46+'10'!F46+'11'!F46+'12'!F46</f>
        <v>1421852</v>
      </c>
      <c r="G46" s="95">
        <f>'01'!G46+'13'!G46+'02'!G46+'03'!G46+'04'!G46+'05'!G46+'06'!G46+'07'!G46+'08'!G46+'09'!G46+'10'!G46+'11'!G46+'12'!G46</f>
        <v>45242743</v>
      </c>
      <c r="H46" s="95">
        <f>'01'!H46+'13'!H46+'02'!H46+'03'!H46+'04'!H46+'05'!H46+'06'!H46+'07'!H46+'08'!H46+'09'!H46+'10'!H46+'11'!H46+'12'!H46</f>
        <v>670956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26360545</v>
      </c>
      <c r="K46" s="95">
        <f>'01'!K46+'13'!K46+'02'!K46+'03'!K46+'04'!K46+'05'!K46+'06'!K46+'07'!K46+'08'!K46+'09'!K46+'10'!K46+'11'!K46+'12'!K46</f>
        <v>398316517</v>
      </c>
      <c r="L46" s="95">
        <f>'01'!L46+'13'!L46+'02'!L46+'03'!L46+'04'!L46+'05'!L46+'06'!L46+'07'!L46+'08'!L46+'09'!L46+'10'!L46+'11'!L46+'12'!L46</f>
        <v>18211907</v>
      </c>
      <c r="M46" s="142">
        <f>IF($G$4=0,0,('01'!M46+'13'!M46+'02'!M46+'03'!M46+'04'!M46+'05'!M46+'06'!M46+'07'!M46+'08'!M46+'09'!M46+'10'!M46+'11'!M46+'12'!M46)/$G$4)</f>
        <v>312.75</v>
      </c>
      <c r="N46" s="96">
        <v>762651906</v>
      </c>
      <c r="O46" s="97">
        <f t="shared" si="0"/>
        <v>0.522278268586665</v>
      </c>
      <c r="P46" s="98">
        <f t="shared" si="1"/>
        <v>159199.24740207833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356777606</v>
      </c>
      <c r="D47" s="141">
        <f t="shared" si="4"/>
        <v>43396796</v>
      </c>
      <c r="E47" s="141">
        <f t="shared" si="4"/>
        <v>64200266</v>
      </c>
      <c r="F47" s="141">
        <f t="shared" si="4"/>
        <v>4664058</v>
      </c>
      <c r="G47" s="141">
        <f t="shared" si="4"/>
        <v>52505682</v>
      </c>
      <c r="H47" s="141">
        <f t="shared" si="4"/>
        <v>809487</v>
      </c>
      <c r="I47" s="141">
        <f t="shared" si="4"/>
        <v>0</v>
      </c>
      <c r="J47" s="141">
        <f t="shared" si="4"/>
        <v>37686715</v>
      </c>
      <c r="K47" s="141">
        <f t="shared" si="4"/>
        <v>560040610</v>
      </c>
      <c r="L47" s="141">
        <f t="shared" si="4"/>
        <v>21449124</v>
      </c>
      <c r="M47" s="143">
        <f>SUM(M40:M46)</f>
        <v>374.75</v>
      </c>
      <c r="N47" s="141">
        <f>SUM(N40:N46)</f>
        <v>933294774</v>
      </c>
      <c r="O47" s="97">
        <f t="shared" si="0"/>
        <v>0.6000683016789291</v>
      </c>
      <c r="P47" s="98">
        <f t="shared" si="1"/>
        <v>186804.73982655103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402690581</v>
      </c>
      <c r="D48" s="141">
        <f t="shared" si="5"/>
        <v>49449808</v>
      </c>
      <c r="E48" s="141">
        <f t="shared" si="5"/>
        <v>64200266</v>
      </c>
      <c r="F48" s="141">
        <f t="shared" si="5"/>
        <v>4982306</v>
      </c>
      <c r="G48" s="141">
        <f t="shared" si="5"/>
        <v>55081502</v>
      </c>
      <c r="H48" s="141">
        <f t="shared" si="5"/>
        <v>809487</v>
      </c>
      <c r="I48" s="141">
        <f t="shared" si="5"/>
        <v>0</v>
      </c>
      <c r="J48" s="141">
        <f t="shared" si="5"/>
        <v>41641286</v>
      </c>
      <c r="K48" s="141">
        <f t="shared" si="5"/>
        <v>618855236</v>
      </c>
      <c r="L48" s="141">
        <f t="shared" si="5"/>
        <v>23044455</v>
      </c>
      <c r="M48" s="143">
        <f>M32+M39+M47</f>
        <v>433.375</v>
      </c>
      <c r="N48" s="141">
        <f>N32+N39+N47</f>
        <v>1077819000</v>
      </c>
      <c r="O48" s="97">
        <f t="shared" si="0"/>
        <v>0.5741736191327115</v>
      </c>
      <c r="P48" s="98">
        <f t="shared" si="1"/>
        <v>178498.77011825785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2837562</v>
      </c>
      <c r="D49" s="140">
        <f>'01'!D49+'13'!D49+'02'!D49+'03'!D49+'04'!D49+'05'!D49+'06'!D49+'07'!D49+'08'!D49+'09'!D49+'10'!D49+'11'!D49+'12'!D49</f>
        <v>625929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142174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279945</v>
      </c>
      <c r="K49" s="140">
        <f>'01'!K49+'13'!K49+'02'!K49+'03'!K49+'04'!K49+'05'!K49+'06'!K49+'07'!K49+'08'!K49+'09'!K49+'10'!K49+'11'!K49+'12'!K49</f>
        <v>3885610</v>
      </c>
      <c r="L49" s="140">
        <f>'01'!L49+'13'!L49+'02'!L49+'03'!L49+'04'!L49+'05'!L49+'06'!L49+'07'!L49+'08'!L49+'09'!L49+'10'!L49+'11'!L49+'12'!L49</f>
        <v>42450</v>
      </c>
      <c r="M49" s="142">
        <f>IF($G$4=0,0,('01'!M49+'13'!M49+'02'!M49+'03'!M49+'04'!M49+'05'!M49+'06'!M49+'07'!M49+'08'!M49+'09'!M49+'10'!M49+'11'!M49+'12'!M49)/$G$4)</f>
        <v>4.75</v>
      </c>
      <c r="N49" s="96">
        <v>6883000</v>
      </c>
      <c r="O49" s="97">
        <f t="shared" si="0"/>
        <v>0.5645227371785558</v>
      </c>
      <c r="P49" s="98">
        <f t="shared" si="1"/>
        <v>102252.8947368421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405528143</v>
      </c>
      <c r="D50" s="141">
        <f t="shared" si="6"/>
        <v>50075737</v>
      </c>
      <c r="E50" s="141">
        <f t="shared" si="6"/>
        <v>64200266</v>
      </c>
      <c r="F50" s="141">
        <f t="shared" si="6"/>
        <v>5124480</v>
      </c>
      <c r="G50" s="141">
        <f t="shared" si="6"/>
        <v>55081502</v>
      </c>
      <c r="H50" s="141">
        <f t="shared" si="6"/>
        <v>809487</v>
      </c>
      <c r="I50" s="141">
        <f t="shared" si="6"/>
        <v>0</v>
      </c>
      <c r="J50" s="141">
        <f t="shared" si="6"/>
        <v>41921231</v>
      </c>
      <c r="K50" s="141">
        <f t="shared" si="6"/>
        <v>622740846</v>
      </c>
      <c r="L50" s="141">
        <f t="shared" si="6"/>
        <v>23086905</v>
      </c>
      <c r="M50" s="143">
        <f>M48+M49</f>
        <v>438.125</v>
      </c>
      <c r="N50" s="141">
        <f>N48+N49</f>
        <v>1084702000</v>
      </c>
      <c r="O50" s="97">
        <f t="shared" si="0"/>
        <v>0.5741123792525504</v>
      </c>
      <c r="P50" s="98">
        <f t="shared" si="1"/>
        <v>177672.1386590585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58"/>
    </row>
    <row r="53" spans="1:16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  <c r="O53" s="166"/>
      <c r="P53" s="163"/>
    </row>
    <row r="54" spans="1:15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  <c r="O54" s="166"/>
    </row>
    <row r="55" spans="1:15" ht="12.75">
      <c r="A55" s="54" t="s">
        <v>39</v>
      </c>
      <c r="B55" s="55">
        <f aca="true" t="shared" si="7" ref="B55:B70">IF(A55="","",VLOOKUP(A55,$A$12:$B$50,2,FALSE))</f>
        <v>82</v>
      </c>
      <c r="C55" s="55"/>
      <c r="D55" s="55"/>
      <c r="E55" s="55"/>
      <c r="F55" s="55"/>
      <c r="G55" s="55">
        <v>47279</v>
      </c>
      <c r="H55" s="55"/>
      <c r="I55" s="55"/>
      <c r="J55" s="55">
        <v>138868</v>
      </c>
      <c r="K55" s="162">
        <f aca="true" t="shared" si="8" ref="K55:K70">SUM(C55:J55)</f>
        <v>186147</v>
      </c>
      <c r="L55" s="55">
        <v>8270</v>
      </c>
      <c r="M55" s="55">
        <f>16+3</f>
        <v>19</v>
      </c>
      <c r="N55" s="158"/>
      <c r="O55" s="166"/>
    </row>
    <row r="56" spans="1:15" ht="12.75">
      <c r="A56" s="58" t="s">
        <v>32</v>
      </c>
      <c r="B56" s="59">
        <f t="shared" si="7"/>
        <v>83</v>
      </c>
      <c r="C56" s="55">
        <v>-29115</v>
      </c>
      <c r="D56" s="55">
        <v>-6046</v>
      </c>
      <c r="E56" s="59">
        <v>0</v>
      </c>
      <c r="F56" s="59">
        <v>0</v>
      </c>
      <c r="G56" s="59">
        <v>0</v>
      </c>
      <c r="H56" s="59"/>
      <c r="I56" s="59"/>
      <c r="J56" s="59">
        <f>48381+70419</f>
        <v>118800</v>
      </c>
      <c r="K56" s="95">
        <f t="shared" si="8"/>
        <v>83639</v>
      </c>
      <c r="L56" s="59">
        <v>12730</v>
      </c>
      <c r="M56" s="59">
        <f>1+8</f>
        <v>9</v>
      </c>
      <c r="N56" s="158"/>
      <c r="O56" s="166"/>
    </row>
    <row r="57" spans="1:15" ht="12.75">
      <c r="A57" s="58" t="s">
        <v>33</v>
      </c>
      <c r="B57" s="59">
        <f t="shared" si="7"/>
        <v>84</v>
      </c>
      <c r="C57" s="59"/>
      <c r="D57" s="59"/>
      <c r="E57" s="59"/>
      <c r="F57" s="59"/>
      <c r="G57" s="59"/>
      <c r="H57" s="59"/>
      <c r="I57" s="59"/>
      <c r="J57" s="59">
        <f>179821+9462</f>
        <v>189283</v>
      </c>
      <c r="K57" s="95">
        <f t="shared" si="8"/>
        <v>189283</v>
      </c>
      <c r="L57" s="59"/>
      <c r="M57" s="59">
        <f>20+1</f>
        <v>21</v>
      </c>
      <c r="N57" s="158"/>
      <c r="O57" s="166"/>
    </row>
    <row r="58" spans="1:15" ht="12.75">
      <c r="A58" s="58" t="s">
        <v>35</v>
      </c>
      <c r="B58" s="59">
        <f t="shared" si="7"/>
        <v>86</v>
      </c>
      <c r="C58" s="59"/>
      <c r="D58" s="59"/>
      <c r="E58" s="59"/>
      <c r="F58" s="59"/>
      <c r="G58" s="59"/>
      <c r="H58" s="59"/>
      <c r="I58" s="59"/>
      <c r="J58" s="59">
        <f>17267+34367</f>
        <v>51634</v>
      </c>
      <c r="K58" s="95">
        <f t="shared" si="8"/>
        <v>51634</v>
      </c>
      <c r="L58" s="59"/>
      <c r="M58" s="59">
        <f>1+1</f>
        <v>2</v>
      </c>
      <c r="N58" s="158"/>
      <c r="O58" s="166"/>
    </row>
    <row r="59" spans="1:15" ht="12.75">
      <c r="A59" s="54" t="s">
        <v>36</v>
      </c>
      <c r="B59" s="55">
        <f t="shared" si="7"/>
        <v>87</v>
      </c>
      <c r="C59" s="55"/>
      <c r="D59" s="55"/>
      <c r="E59" s="55"/>
      <c r="F59" s="55"/>
      <c r="G59" s="55"/>
      <c r="H59" s="55"/>
      <c r="I59" s="55"/>
      <c r="J59" s="55">
        <v>61488</v>
      </c>
      <c r="K59" s="95">
        <f t="shared" si="8"/>
        <v>61488</v>
      </c>
      <c r="L59" s="55"/>
      <c r="M59" s="59">
        <v>5</v>
      </c>
      <c r="N59" s="158"/>
      <c r="O59" s="166"/>
    </row>
    <row r="60" spans="1:15" ht="12.75">
      <c r="A60" s="58" t="s">
        <v>37</v>
      </c>
      <c r="B60" s="59">
        <f t="shared" si="7"/>
        <v>88</v>
      </c>
      <c r="C60" s="59"/>
      <c r="D60" s="59"/>
      <c r="E60" s="59"/>
      <c r="F60" s="59"/>
      <c r="G60" s="59"/>
      <c r="H60" s="59"/>
      <c r="I60" s="59"/>
      <c r="J60" s="59">
        <v>70351</v>
      </c>
      <c r="K60" s="95">
        <f t="shared" si="8"/>
        <v>70351</v>
      </c>
      <c r="L60" s="59"/>
      <c r="M60" s="59">
        <v>4</v>
      </c>
      <c r="N60" s="158"/>
      <c r="O60" s="166"/>
    </row>
    <row r="61" spans="1:15" ht="12.75">
      <c r="A61" s="58" t="s">
        <v>40</v>
      </c>
      <c r="B61" s="59">
        <f t="shared" si="7"/>
        <v>89</v>
      </c>
      <c r="C61" s="59">
        <v>-42515</v>
      </c>
      <c r="D61" s="59">
        <v>0</v>
      </c>
      <c r="E61" s="59">
        <v>-12754</v>
      </c>
      <c r="F61" s="59">
        <v>0</v>
      </c>
      <c r="G61" s="59">
        <v>-27055</v>
      </c>
      <c r="H61" s="59">
        <v>0</v>
      </c>
      <c r="I61" s="59"/>
      <c r="J61" s="59">
        <v>12128</v>
      </c>
      <c r="K61" s="95">
        <f t="shared" si="8"/>
        <v>-70196</v>
      </c>
      <c r="L61" s="59"/>
      <c r="M61" s="59">
        <f>1+7</f>
        <v>8</v>
      </c>
      <c r="N61" s="158"/>
      <c r="O61" s="166"/>
    </row>
    <row r="62" spans="1:15" ht="12.75">
      <c r="A62" s="58" t="s">
        <v>59</v>
      </c>
      <c r="B62" s="59">
        <f t="shared" si="7"/>
        <v>73</v>
      </c>
      <c r="C62" s="59"/>
      <c r="D62" s="59"/>
      <c r="E62" s="59"/>
      <c r="F62" s="59"/>
      <c r="G62" s="59"/>
      <c r="H62" s="59"/>
      <c r="I62" s="59"/>
      <c r="J62" s="59">
        <v>97550</v>
      </c>
      <c r="K62" s="95">
        <f t="shared" si="8"/>
        <v>97550</v>
      </c>
      <c r="L62" s="59"/>
      <c r="M62" s="59">
        <v>2</v>
      </c>
      <c r="N62" s="158"/>
      <c r="O62" s="166"/>
    </row>
    <row r="63" spans="1:15" ht="12.75">
      <c r="A63" s="54" t="s">
        <v>60</v>
      </c>
      <c r="B63" s="55">
        <f t="shared" si="7"/>
        <v>74</v>
      </c>
      <c r="C63" s="55"/>
      <c r="D63" s="55"/>
      <c r="E63" s="55"/>
      <c r="F63" s="55"/>
      <c r="G63" s="55"/>
      <c r="H63" s="55"/>
      <c r="I63" s="55"/>
      <c r="J63" s="55">
        <v>191682</v>
      </c>
      <c r="K63" s="95">
        <f t="shared" si="8"/>
        <v>191682</v>
      </c>
      <c r="L63" s="55"/>
      <c r="M63" s="59">
        <v>5</v>
      </c>
      <c r="N63" s="158"/>
      <c r="O63" s="166"/>
    </row>
    <row r="64" spans="1:15" ht="12.75">
      <c r="A64" s="58" t="s">
        <v>61</v>
      </c>
      <c r="B64" s="59">
        <f t="shared" si="7"/>
        <v>75</v>
      </c>
      <c r="C64" s="59">
        <f>257600+270550-64417</f>
        <v>463733</v>
      </c>
      <c r="D64" s="59">
        <f>27600+26669-6902</f>
        <v>47367</v>
      </c>
      <c r="E64" s="59">
        <f>77280+81165-19325</f>
        <v>139120</v>
      </c>
      <c r="F64" s="59">
        <f>0+11595-0</f>
        <v>11595</v>
      </c>
      <c r="G64" s="59">
        <f>-20240+32853-8098</f>
        <v>4515</v>
      </c>
      <c r="H64" s="59">
        <f>0+0-0</f>
        <v>0</v>
      </c>
      <c r="I64" s="59"/>
      <c r="J64" s="59">
        <f>70751+255652-99933+35236-171145</f>
        <v>90561</v>
      </c>
      <c r="K64" s="95">
        <f>SUM(C64:J64)</f>
        <v>756891</v>
      </c>
      <c r="L64" s="40">
        <f>0-0</f>
        <v>0</v>
      </c>
      <c r="M64" s="59">
        <f>2+9+1+1</f>
        <v>13</v>
      </c>
      <c r="N64" s="158"/>
      <c r="O64" s="166"/>
    </row>
    <row r="65" spans="1:15" ht="12.75">
      <c r="A65" s="58" t="s">
        <v>62</v>
      </c>
      <c r="B65" s="59">
        <f t="shared" si="7"/>
        <v>119</v>
      </c>
      <c r="C65" s="59"/>
      <c r="D65" s="59"/>
      <c r="E65" s="59"/>
      <c r="F65" s="59"/>
      <c r="G65" s="59"/>
      <c r="H65" s="59"/>
      <c r="I65" s="59"/>
      <c r="J65" s="59">
        <f>362052+1005800</f>
        <v>1367852</v>
      </c>
      <c r="K65" s="95">
        <f t="shared" si="8"/>
        <v>1367852</v>
      </c>
      <c r="L65" s="59">
        <f>0+16909</f>
        <v>16909</v>
      </c>
      <c r="M65" s="59">
        <f>5+46+1+1</f>
        <v>53</v>
      </c>
      <c r="N65" s="158"/>
      <c r="O65" s="166"/>
    </row>
    <row r="66" spans="1:15" ht="12.75">
      <c r="A66" s="58" t="s">
        <v>63</v>
      </c>
      <c r="B66" s="59">
        <f t="shared" si="7"/>
        <v>120</v>
      </c>
      <c r="C66" s="59">
        <f>-876+220137+111893+4233+3865-64417+101594</f>
        <v>376429</v>
      </c>
      <c r="D66" s="59">
        <f>-368+30836+17089+699+639-10565+16786</f>
        <v>55116</v>
      </c>
      <c r="E66" s="59">
        <f>-131+33021+16785+635+580-9663+15240</f>
        <v>56467</v>
      </c>
      <c r="F66" s="59">
        <f>0+0+0</f>
        <v>0</v>
      </c>
      <c r="G66" s="40">
        <f>2629+38867+73024+17887+7871-10307+67721</f>
        <v>197692</v>
      </c>
      <c r="H66" s="59">
        <f>19325+5025</f>
        <v>24350</v>
      </c>
      <c r="I66" s="59"/>
      <c r="J66" s="40">
        <f>72382+3427724-115887-53745-7827-10074+143460</f>
        <v>3456033</v>
      </c>
      <c r="K66" s="95">
        <f t="shared" si="8"/>
        <v>4166087</v>
      </c>
      <c r="L66" s="59">
        <f>58822+62616+122712+8764+28149+79036</f>
        <v>360099</v>
      </c>
      <c r="M66" s="59">
        <f>14+307+21+27+5+4+6</f>
        <v>384</v>
      </c>
      <c r="N66" s="158"/>
      <c r="O66" s="166"/>
    </row>
    <row r="67" spans="1:15" ht="12.75">
      <c r="A67" s="54" t="s">
        <v>51</v>
      </c>
      <c r="B67" s="55">
        <f t="shared" si="7"/>
        <v>158</v>
      </c>
      <c r="C67" s="55"/>
      <c r="D67" s="55"/>
      <c r="E67" s="55"/>
      <c r="F67" s="55"/>
      <c r="G67" s="55"/>
      <c r="H67" s="55"/>
      <c r="I67" s="55"/>
      <c r="J67" s="55">
        <v>28249</v>
      </c>
      <c r="K67" s="95">
        <f t="shared" si="8"/>
        <v>28249</v>
      </c>
      <c r="L67" s="55"/>
      <c r="M67" s="59">
        <v>4</v>
      </c>
      <c r="N67" s="158"/>
      <c r="O67" s="166"/>
    </row>
    <row r="68" spans="1:15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95">
        <f t="shared" si="8"/>
        <v>0</v>
      </c>
      <c r="L68" s="59"/>
      <c r="M68" s="59"/>
      <c r="N68" s="158"/>
      <c r="O68" s="100"/>
    </row>
    <row r="69" spans="1:15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95">
        <f t="shared" si="8"/>
        <v>0</v>
      </c>
      <c r="L69" s="59"/>
      <c r="M69" s="59"/>
      <c r="N69" s="158"/>
      <c r="O69" s="166"/>
    </row>
    <row r="70" spans="1:13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95">
        <f t="shared" si="8"/>
        <v>0</v>
      </c>
      <c r="L70" s="59"/>
      <c r="M70" s="59"/>
    </row>
    <row r="71" spans="1:15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O71" s="163"/>
    </row>
    <row r="72" spans="1:13" ht="12.75">
      <c r="A72" s="107" t="s">
        <v>21</v>
      </c>
      <c r="B72" s="174" t="s">
        <v>229</v>
      </c>
      <c r="C72" s="204"/>
      <c r="D72" s="204"/>
      <c r="E72" s="106"/>
      <c r="F72" s="105"/>
      <c r="G72" s="105"/>
      <c r="H72" s="105"/>
      <c r="I72" s="105"/>
      <c r="J72" s="105"/>
      <c r="K72" s="105"/>
      <c r="L72" s="105"/>
      <c r="M72" s="105"/>
    </row>
    <row r="73" spans="1:13" ht="12.75">
      <c r="A73" s="105"/>
      <c r="B73" s="105"/>
      <c r="C73" s="105"/>
      <c r="D73" s="105"/>
      <c r="E73" s="105"/>
      <c r="F73" s="105"/>
      <c r="G73" s="105"/>
      <c r="H73" s="105"/>
      <c r="I73" s="105"/>
      <c r="J73" s="173" t="s">
        <v>224</v>
      </c>
      <c r="K73" s="205"/>
      <c r="L73" s="105"/>
      <c r="M73" s="105"/>
    </row>
    <row r="74" spans="1:13" ht="12.75">
      <c r="A74" s="105"/>
      <c r="B74" s="105"/>
      <c r="C74" s="105"/>
      <c r="D74" s="105"/>
      <c r="E74" s="105"/>
      <c r="F74" s="105"/>
      <c r="G74" s="105"/>
      <c r="H74" s="105"/>
      <c r="I74" s="105"/>
      <c r="J74" s="200" t="s">
        <v>48</v>
      </c>
      <c r="K74" s="200"/>
      <c r="L74" s="105"/>
      <c r="M74" s="105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219" ht="24.75" customHeight="1">
      <c r="A219" s="108" t="s">
        <v>123</v>
      </c>
    </row>
    <row r="220" ht="24.75" customHeight="1">
      <c r="A220" s="108" t="s">
        <v>124</v>
      </c>
    </row>
    <row r="221" ht="24.75" customHeight="1">
      <c r="A221" s="108" t="s">
        <v>125</v>
      </c>
    </row>
    <row r="222" ht="24.75" customHeight="1">
      <c r="A222" s="108" t="s">
        <v>126</v>
      </c>
    </row>
    <row r="223" ht="24.75" customHeight="1">
      <c r="A223" s="108" t="s">
        <v>127</v>
      </c>
    </row>
    <row r="224" ht="24.75" customHeight="1">
      <c r="A224" s="108" t="s">
        <v>128</v>
      </c>
    </row>
    <row r="225" ht="24.75" customHeight="1">
      <c r="A225" s="108" t="s">
        <v>129</v>
      </c>
    </row>
    <row r="226" ht="24.75" customHeight="1">
      <c r="A226" s="108" t="s">
        <v>132</v>
      </c>
    </row>
    <row r="227" ht="24.75" customHeight="1">
      <c r="A227" s="108" t="s">
        <v>133</v>
      </c>
    </row>
    <row r="228" ht="24.75" customHeight="1">
      <c r="A228" s="108" t="s">
        <v>134</v>
      </c>
    </row>
    <row r="229" ht="24.75" customHeight="1">
      <c r="A229" s="108" t="s">
        <v>135</v>
      </c>
    </row>
    <row r="230" ht="24.75" customHeight="1">
      <c r="A230" s="108" t="s">
        <v>130</v>
      </c>
    </row>
    <row r="231" ht="24.75" customHeight="1">
      <c r="A231" s="108" t="s">
        <v>136</v>
      </c>
    </row>
    <row r="232" ht="24.75" customHeight="1">
      <c r="A232" s="108" t="s">
        <v>137</v>
      </c>
    </row>
    <row r="233" ht="24.75" customHeight="1">
      <c r="A233" s="108" t="s">
        <v>131</v>
      </c>
    </row>
    <row r="234" ht="24.75" customHeight="1">
      <c r="A234" s="108" t="s">
        <v>138</v>
      </c>
    </row>
    <row r="235" ht="24.75" customHeight="1">
      <c r="A235" s="108" t="s">
        <v>139</v>
      </c>
    </row>
    <row r="236" ht="24.75" customHeight="1">
      <c r="A236" s="108" t="s">
        <v>140</v>
      </c>
    </row>
    <row r="237" ht="24.75" customHeight="1">
      <c r="A237" s="108" t="s">
        <v>141</v>
      </c>
    </row>
    <row r="238" ht="24.75" customHeight="1">
      <c r="A238" s="108" t="s">
        <v>142</v>
      </c>
    </row>
    <row r="239" ht="24.75" customHeight="1">
      <c r="A239" s="108" t="s">
        <v>143</v>
      </c>
    </row>
    <row r="240" ht="24.75" customHeight="1">
      <c r="A240" s="108" t="s">
        <v>144</v>
      </c>
    </row>
    <row r="241" ht="24.75" customHeight="1">
      <c r="A241" s="108" t="s">
        <v>145</v>
      </c>
    </row>
    <row r="242" ht="24.75" customHeight="1">
      <c r="A242" s="108" t="s">
        <v>146</v>
      </c>
    </row>
    <row r="243" ht="24.75" customHeight="1">
      <c r="A243" s="108" t="s">
        <v>147</v>
      </c>
    </row>
    <row r="244" ht="24.75" customHeight="1">
      <c r="A244" s="108" t="s">
        <v>148</v>
      </c>
    </row>
    <row r="245" ht="24.75" customHeight="1">
      <c r="A245" s="108" t="s">
        <v>149</v>
      </c>
    </row>
    <row r="246" ht="24.75" customHeight="1">
      <c r="A246" s="108" t="s">
        <v>150</v>
      </c>
    </row>
    <row r="247" ht="24.75" customHeight="1">
      <c r="A247" s="108" t="s">
        <v>151</v>
      </c>
    </row>
    <row r="248" ht="24.75" customHeight="1">
      <c r="A248" s="108" t="s">
        <v>152</v>
      </c>
    </row>
    <row r="249" ht="24.75" customHeight="1">
      <c r="A249" s="108" t="s">
        <v>153</v>
      </c>
    </row>
    <row r="250" ht="24.75" customHeight="1">
      <c r="A250" s="108" t="s">
        <v>154</v>
      </c>
    </row>
    <row r="260" ht="12.75">
      <c r="A260" s="63" t="s">
        <v>22</v>
      </c>
    </row>
    <row r="261" ht="12.75">
      <c r="A261" s="63" t="s">
        <v>23</v>
      </c>
    </row>
    <row r="262" ht="12.75">
      <c r="A262" s="63" t="s">
        <v>24</v>
      </c>
    </row>
    <row r="263" ht="12.75">
      <c r="A263" s="63" t="s">
        <v>26</v>
      </c>
    </row>
    <row r="264" ht="12.75">
      <c r="A264" s="63" t="s">
        <v>25</v>
      </c>
    </row>
    <row r="265" ht="12.75">
      <c r="A265" s="63" t="s">
        <v>27</v>
      </c>
    </row>
    <row r="266" ht="12.75">
      <c r="A266" s="63" t="s">
        <v>28</v>
      </c>
    </row>
    <row r="267" ht="12.75">
      <c r="A267" s="63" t="s">
        <v>29</v>
      </c>
    </row>
    <row r="268" ht="12.75">
      <c r="A268" s="63" t="s">
        <v>30</v>
      </c>
    </row>
    <row r="269" ht="12.75">
      <c r="A269" s="63" t="s">
        <v>31</v>
      </c>
    </row>
    <row r="270" ht="12.75">
      <c r="A270" s="63" t="s">
        <v>38</v>
      </c>
    </row>
    <row r="271" ht="12.75">
      <c r="A271" s="63" t="s">
        <v>39</v>
      </c>
    </row>
    <row r="272" ht="12.75">
      <c r="A272" s="63" t="s">
        <v>32</v>
      </c>
    </row>
    <row r="273" ht="12.75">
      <c r="A273" s="63" t="s">
        <v>33</v>
      </c>
    </row>
    <row r="274" ht="12.75">
      <c r="A274" s="63" t="s">
        <v>34</v>
      </c>
    </row>
    <row r="275" ht="12.75">
      <c r="A275" s="63" t="s">
        <v>35</v>
      </c>
    </row>
    <row r="276" ht="12.75">
      <c r="A276" s="63" t="s">
        <v>36</v>
      </c>
    </row>
    <row r="277" ht="12.75">
      <c r="A277" s="63" t="s">
        <v>37</v>
      </c>
    </row>
    <row r="278" ht="12.75">
      <c r="A278" s="63" t="s">
        <v>40</v>
      </c>
    </row>
    <row r="279" ht="12.75">
      <c r="A279" s="63" t="s">
        <v>41</v>
      </c>
    </row>
    <row r="280" ht="12.75">
      <c r="A280" s="109" t="s">
        <v>64</v>
      </c>
    </row>
    <row r="281" ht="12.75">
      <c r="A281" s="109" t="s">
        <v>65</v>
      </c>
    </row>
    <row r="282" ht="12.75">
      <c r="A282" s="109" t="s">
        <v>66</v>
      </c>
    </row>
    <row r="283" ht="12.75">
      <c r="A283" s="109" t="s">
        <v>67</v>
      </c>
    </row>
    <row r="284" ht="12.75">
      <c r="A284" s="109" t="s">
        <v>68</v>
      </c>
    </row>
    <row r="285" ht="12.75">
      <c r="A285" s="109" t="s">
        <v>69</v>
      </c>
    </row>
    <row r="286" ht="12.75">
      <c r="A286" s="63" t="s">
        <v>57</v>
      </c>
    </row>
    <row r="287" ht="12.75">
      <c r="A287" s="63" t="s">
        <v>58</v>
      </c>
    </row>
    <row r="288" ht="12.75">
      <c r="A288" s="63" t="s">
        <v>59</v>
      </c>
    </row>
    <row r="289" ht="12.75">
      <c r="A289" s="63" t="s">
        <v>60</v>
      </c>
    </row>
    <row r="290" ht="12.75">
      <c r="A290" s="63" t="s">
        <v>61</v>
      </c>
    </row>
    <row r="291" ht="12.75">
      <c r="A291" s="63" t="s">
        <v>62</v>
      </c>
    </row>
    <row r="292" ht="12.75">
      <c r="A292" s="63" t="s">
        <v>63</v>
      </c>
    </row>
    <row r="293" ht="12.75">
      <c r="A293" s="63" t="s">
        <v>51</v>
      </c>
    </row>
  </sheetData>
  <sheetProtection/>
  <mergeCells count="11">
    <mergeCell ref="K2:L2"/>
    <mergeCell ref="B72:D72"/>
    <mergeCell ref="J73:K73"/>
    <mergeCell ref="J74:K74"/>
    <mergeCell ref="C7:D7"/>
    <mergeCell ref="K3:L3"/>
    <mergeCell ref="E4:F4"/>
    <mergeCell ref="A5:F5"/>
    <mergeCell ref="H5:P5"/>
    <mergeCell ref="A52:M52"/>
    <mergeCell ref="A53:A54"/>
  </mergeCells>
  <conditionalFormatting sqref="O12:O50">
    <cfRule type="cellIs" priority="2" dxfId="0" operator="equal" stopIfTrue="1">
      <formula>0</formula>
    </cfRule>
  </conditionalFormatting>
  <conditionalFormatting sqref="N51:N69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0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25">
      <selection activeCell="A4" sqref="A4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7.2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Közép-dunántúli Országos Büntetés-végrehajtási Intézet</v>
      </c>
    </row>
    <row r="2" spans="1:10" ht="12.75">
      <c r="A2" s="3" t="s">
        <v>71</v>
      </c>
      <c r="H2" s="5" t="s">
        <v>0</v>
      </c>
      <c r="I2" s="201" t="s">
        <v>220</v>
      </c>
      <c r="J2" s="202"/>
    </row>
    <row r="3" spans="1:10" ht="12.75">
      <c r="A3" s="3"/>
      <c r="H3" s="5" t="s">
        <v>77</v>
      </c>
      <c r="I3" s="201" t="s">
        <v>219</v>
      </c>
      <c r="J3" s="202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9" t="s">
        <v>85</v>
      </c>
      <c r="B5" s="189"/>
      <c r="C5" s="189"/>
      <c r="D5" s="189"/>
      <c r="E5" s="189"/>
      <c r="F5" s="189"/>
      <c r="G5" s="7" t="s">
        <v>83</v>
      </c>
      <c r="H5" s="188" t="s">
        <v>196</v>
      </c>
      <c r="I5" s="188"/>
      <c r="J5" s="188"/>
      <c r="K5" s="188"/>
      <c r="L5" s="188"/>
      <c r="M5" s="188"/>
      <c r="N5" s="188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 aca="true" t="shared" si="0" ref="M12:M22">IF(L12=0,L12,I12/L12)</f>
        <v>0</v>
      </c>
      <c r="N12" s="98">
        <f aca="true" t="shared" si="1" ref="N12:N22"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t="shared" si="0"/>
        <v>0</v>
      </c>
      <c r="N13" s="98">
        <f t="shared" si="1"/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4761614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471536</v>
      </c>
      <c r="F23" s="95">
        <f>'01M'!F23+'13M'!F23+'02M'!F23+'03M'!F23+'04M'!F23+'05M'!F23+'06M'!F23+'07M'!F23+'08M'!F23+'09M'!F23+'10M'!F23+'11M'!F23+'12M'!F23</f>
        <v>203255</v>
      </c>
      <c r="G23" s="95">
        <f>'01M'!G23+'13M'!G23+'02M'!G23+'03M'!G23+'04M'!G23+'05M'!G23+'06M'!G23+'07M'!G23+'08M'!G23+'09M'!G23+'10M'!G23+'11M'!G23+'12M'!G23</f>
        <v>21165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5457570</v>
      </c>
      <c r="K23" s="142">
        <f>IF($G$4=0,0,('01'!M23+'13'!M23+'02'!M23+'03'!M23+'04'!M23+'05'!M23+'06'!M23+'07'!M23+'08'!M23+'09'!M23+'10'!M23+'11'!M23+'12'!M23)/$G$4)</f>
        <v>16.125</v>
      </c>
      <c r="L23" s="96">
        <v>10651290</v>
      </c>
      <c r="M23" s="97">
        <f aca="true" t="shared" si="2" ref="M23:M31">IF(L23=0,L23,J23/L23)</f>
        <v>0.5123858236889616</v>
      </c>
      <c r="N23" s="98">
        <f aca="true" t="shared" si="3" ref="N23:N31">IF(K23=0,K23,(J23/K23)/$G$4)</f>
        <v>42306.74418604651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2422595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251413</v>
      </c>
      <c r="F24" s="95">
        <f>'01M'!F24+'13M'!F24+'02M'!F24+'03M'!F24+'04M'!F24+'05M'!F24+'06M'!F24+'07M'!F24+'08M'!F24+'09M'!F24+'10M'!F24+'11M'!F24+'12M'!F24</f>
        <v>109070</v>
      </c>
      <c r="G24" s="95">
        <f>'01M'!G24+'13M'!G24+'02M'!G24+'03M'!G24+'04M'!G24+'05M'!G24+'06M'!G24+'07M'!G24+'08M'!G24+'09M'!G24+'10M'!G24+'11M'!G24+'12M'!G24</f>
        <v>15924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2799002</v>
      </c>
      <c r="K24" s="142">
        <f>IF($G$4=0,0,('01'!M24+'13'!M24+'02'!M24+'03'!M24+'04'!M24+'05'!M24+'06'!M24+'07'!M24+'08'!M24+'09'!M24+'10'!M24+'11'!M24+'12'!M24)/$G$4)</f>
        <v>8.5</v>
      </c>
      <c r="L24" s="96">
        <v>7034780</v>
      </c>
      <c r="M24" s="97">
        <f t="shared" si="2"/>
        <v>0.39788053073443663</v>
      </c>
      <c r="N24" s="98">
        <f t="shared" si="3"/>
        <v>41161.794117647056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7062058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673289</v>
      </c>
      <c r="F25" s="95">
        <f>'01M'!F25+'13M'!F25+'02M'!F25+'03M'!F25+'04M'!F25+'05M'!F25+'06M'!F25+'07M'!F25+'08M'!F25+'09M'!F25+'10M'!F25+'11M'!F25+'12M'!F25</f>
        <v>308230</v>
      </c>
      <c r="G25" s="95">
        <f>'01M'!G25+'13M'!G25+'02M'!G25+'03M'!G25+'04M'!G25+'05M'!G25+'06M'!G25+'07M'!G25+'08M'!G25+'09M'!G25+'10M'!G25+'11M'!G25+'12M'!G25</f>
        <v>37184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8080761</v>
      </c>
      <c r="K25" s="142">
        <f>IF($G$4=0,0,('01'!M25+'13'!M25+'02'!M25+'03'!M25+'04'!M25+'05'!M25+'06'!M25+'07'!M25+'08'!M25+'09'!M25+'10'!M25+'11'!M25+'12'!M25)/$G$4)</f>
        <v>23.625</v>
      </c>
      <c r="L25" s="96">
        <v>12997428</v>
      </c>
      <c r="M25" s="97">
        <f t="shared" si="2"/>
        <v>0.621720004911741</v>
      </c>
      <c r="N25" s="98">
        <f t="shared" si="3"/>
        <v>42755.34920634921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166037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17176</v>
      </c>
      <c r="F26" s="95">
        <f>'01M'!F26+'13M'!F26+'02M'!F26+'03M'!F26+'04M'!F26+'05M'!F26+'06M'!F26+'07M'!F26+'08M'!F26+'09M'!F26+'10M'!F26+'11M'!F26+'12M'!F26</f>
        <v>5850</v>
      </c>
      <c r="G26" s="95">
        <f>'01M'!G26+'13M'!G26+'02M'!G26+'03M'!G26+'04M'!G26+'05M'!G26+'06M'!G26+'07M'!G26+'08M'!G26+'09M'!G26+'10M'!G26+'11M'!G26+'12M'!G26</f>
        <v>4458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193521</v>
      </c>
      <c r="K26" s="142">
        <f>IF($G$4=0,0,('01'!M26+'13'!M26+'02'!M26+'03'!M26+'04'!M26+'05'!M26+'06'!M26+'07'!M26+'08'!M26+'09'!M26+'10'!M26+'11'!M26+'12'!M26)/$G$4)</f>
        <v>0.625</v>
      </c>
      <c r="L26" s="96">
        <v>250000</v>
      </c>
      <c r="M26" s="97">
        <f t="shared" si="2"/>
        <v>0.774084</v>
      </c>
      <c r="N26" s="98">
        <f t="shared" si="3"/>
        <v>38704.2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1109495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103068</v>
      </c>
      <c r="F27" s="95">
        <f>'01M'!F27+'13M'!F27+'02M'!F27+'03M'!F27+'04M'!F27+'05M'!F27+'06M'!F27+'07M'!F27+'08M'!F27+'09M'!F27+'10M'!F27+'11M'!F27+'12M'!F27</f>
        <v>33605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1246168</v>
      </c>
      <c r="K27" s="142">
        <f>IF($G$4=0,0,('01'!M27+'13'!M27+'02'!M27+'03'!M27+'04'!M27+'05'!M27+'06'!M27+'07'!M27+'08'!M27+'09'!M27+'10'!M27+'11'!M27+'12'!M27)/$G$4)</f>
        <v>1.875</v>
      </c>
      <c r="L27" s="96">
        <v>4017390</v>
      </c>
      <c r="M27" s="97">
        <f t="shared" si="2"/>
        <v>0.31019343404548727</v>
      </c>
      <c r="N27" s="98">
        <f t="shared" si="3"/>
        <v>83077.86666666667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1953977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189421</v>
      </c>
      <c r="F28" s="95">
        <f>'01M'!F28+'13M'!F28+'02M'!F28+'03M'!F28+'04M'!F28+'05M'!F28+'06M'!F28+'07M'!F28+'08M'!F28+'09M'!F28+'10M'!F28+'11M'!F28+'12M'!F28</f>
        <v>44850</v>
      </c>
      <c r="G28" s="95">
        <f>'01M'!G28+'13M'!G28+'02M'!G28+'03M'!G28+'04M'!G28+'05M'!G28+'06M'!G28+'07M'!G28+'08M'!G28+'09M'!G28+'10M'!G28+'11M'!G28+'12M'!G28</f>
        <v>7233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2195481</v>
      </c>
      <c r="K28" s="142">
        <f>IF($G$4=0,0,('01'!M28+'13'!M28+'02'!M28+'03'!M28+'04'!M28+'05'!M28+'06'!M28+'07'!M28+'08'!M28+'09'!M28+'10'!M28+'11'!M28+'12'!M28)/$G$4)</f>
        <v>4.25</v>
      </c>
      <c r="L28" s="96">
        <v>6384780</v>
      </c>
      <c r="M28" s="97">
        <f t="shared" si="2"/>
        <v>0.34386165224173737</v>
      </c>
      <c r="N28" s="98">
        <f t="shared" si="3"/>
        <v>64572.970588235294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1437662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136818</v>
      </c>
      <c r="F29" s="95">
        <f>'01M'!F29+'13M'!F29+'02M'!F29+'03M'!F29+'04M'!F29+'05M'!F29+'06M'!F29+'07M'!F29+'08M'!F29+'09M'!F29+'10M'!F29+'11M'!F29+'12M'!F29</f>
        <v>34125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1608605</v>
      </c>
      <c r="K29" s="142">
        <f>IF($G$4=0,0,('01'!M29+'13'!M29+'02'!M29+'03'!M29+'04'!M29+'05'!M29+'06'!M29+'07'!M29+'08'!M29+'09'!M29+'10'!M29+'11'!M29+'12'!M29)/$G$4)</f>
        <v>2.5</v>
      </c>
      <c r="L29" s="96">
        <v>5472824</v>
      </c>
      <c r="M29" s="97">
        <f t="shared" si="2"/>
        <v>0.29392595120910153</v>
      </c>
      <c r="N29" s="98">
        <f t="shared" si="3"/>
        <v>80430.25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550586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53198</v>
      </c>
      <c r="F30" s="95">
        <f>'01M'!F30+'13M'!F30+'02M'!F30+'03M'!F30+'04M'!F30+'05M'!F30+'06M'!F30+'07M'!F30+'08M'!F30+'09M'!F30+'10M'!F30+'11M'!F30+'12M'!F30</f>
        <v>9750</v>
      </c>
      <c r="G30" s="95">
        <f>'01M'!G30+'13M'!G30+'02M'!G30+'03M'!G30+'04M'!G30+'05M'!G30+'06M'!G30+'07M'!G30+'08M'!G30+'09M'!G30+'10M'!G30+'11M'!G30+'12M'!G30</f>
        <v>9052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622586</v>
      </c>
      <c r="K30" s="142">
        <f>IF($G$4=0,0,('01'!M30+'13'!M30+'02'!M30+'03'!M30+'04'!M30+'05'!M30+'06'!M30+'07'!M30+'08'!M30+'09'!M30+'10'!M30+'11'!M30+'12'!M30)/$G$4)</f>
        <v>1.125</v>
      </c>
      <c r="L30" s="96">
        <v>2000000</v>
      </c>
      <c r="M30" s="97">
        <f t="shared" si="2"/>
        <v>0.311293</v>
      </c>
      <c r="N30" s="98">
        <f t="shared" si="3"/>
        <v>69176.22222222222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IF($G$4=0,0,('01'!M31+'13'!M31+'02'!M31+'03'!M31+'04'!M31+'05'!M31+'06'!M31+'07'!M31+'08'!M31+'09'!M31+'10'!M31+'11'!M31+'12'!M31)/$G$4)</f>
        <v>0</v>
      </c>
      <c r="L31" s="96"/>
      <c r="M31" s="97">
        <f t="shared" si="2"/>
        <v>0</v>
      </c>
      <c r="N31" s="98">
        <f t="shared" si="3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4" ref="C32:J32">SUM(C12:C31)</f>
        <v>19464024</v>
      </c>
      <c r="D32" s="141">
        <f t="shared" si="4"/>
        <v>0</v>
      </c>
      <c r="E32" s="141">
        <f t="shared" si="4"/>
        <v>1895919</v>
      </c>
      <c r="F32" s="141">
        <f t="shared" si="4"/>
        <v>748735</v>
      </c>
      <c r="G32" s="141">
        <f t="shared" si="4"/>
        <v>95016</v>
      </c>
      <c r="H32" s="141">
        <f t="shared" si="4"/>
        <v>0</v>
      </c>
      <c r="I32" s="141">
        <f t="shared" si="4"/>
        <v>0</v>
      </c>
      <c r="J32" s="141">
        <f t="shared" si="4"/>
        <v>22203694</v>
      </c>
      <c r="K32" s="142">
        <f>IF($G$4=0,0,('01'!M32+'13'!M32+'02'!M32+'03'!M32+'04'!M32+'05'!M32+'06'!M32+'07'!M32+'08'!M32+'09'!M32+'10'!M32+'11'!M32+'12'!M32)/$G$4)</f>
        <v>58.625</v>
      </c>
      <c r="L32" s="141">
        <f>SUM(L12:L31)</f>
        <v>48808492</v>
      </c>
      <c r="M32" s="97">
        <f>IF(L32=0,L32,J32/L32)</f>
        <v>0.4549145669159375</v>
      </c>
      <c r="N32" s="98">
        <f>IF(K32=0,K32,(J32/K32)/$G$4)</f>
        <v>47342.631130063965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IF($G$4=0,0,('01'!M33+'13'!M33+'02'!M33+'03'!M33+'04'!M33+'05'!M33+'06'!M33+'07'!M33+'08'!M33+'09'!M33+'10'!M33+'11'!M33+'12'!M33)/$G$4)</f>
        <v>0</v>
      </c>
      <c r="L33" s="96"/>
      <c r="M33" s="97">
        <f aca="true" t="shared" si="5" ref="M33:M50">IF(L33=0,L33,J33/L33)</f>
        <v>0</v>
      </c>
      <c r="N33" s="98">
        <f aca="true" t="shared" si="6" ref="N33:N50">IF(K33=0,K33,(J33/K33)/$G$4)</f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IF($G$4=0,0,('01'!M34+'13'!M34+'02'!M34+'03'!M34+'04'!M34+'05'!M34+'06'!M34+'07'!M34+'08'!M34+'09'!M34+'10'!M34+'11'!M34+'12'!M34)/$G$4)</f>
        <v>0</v>
      </c>
      <c r="L34" s="96"/>
      <c r="M34" s="97">
        <f t="shared" si="5"/>
        <v>0</v>
      </c>
      <c r="N34" s="98">
        <f t="shared" si="6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IF($G$4=0,0,('01'!M35+'13'!M35+'02'!M35+'03'!M35+'04'!M35+'05'!M35+'06'!M35+'07'!M35+'08'!M35+'09'!M35+'10'!M35+'11'!M35+'12'!M35)/$G$4)</f>
        <v>0</v>
      </c>
      <c r="L35" s="96"/>
      <c r="M35" s="97">
        <f t="shared" si="5"/>
        <v>0</v>
      </c>
      <c r="N35" s="98">
        <f t="shared" si="6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IF($G$4=0,0,('01'!M36+'13'!M36+'02'!M36+'03'!M36+'04'!M36+'05'!M36+'06'!M36+'07'!M36+'08'!M36+'09'!M36+'10'!M36+'11'!M36+'12'!M36)/$G$4)</f>
        <v>0</v>
      </c>
      <c r="L36" s="96"/>
      <c r="M36" s="97">
        <f t="shared" si="5"/>
        <v>0</v>
      </c>
      <c r="N36" s="98">
        <f t="shared" si="6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IF($G$4=0,0,('01'!M37+'13'!M37+'02'!M37+'03'!M37+'04'!M37+'05'!M37+'06'!M37+'07'!M37+'08'!M37+'09'!M37+'10'!M37+'11'!M37+'12'!M37)/$G$4)</f>
        <v>0</v>
      </c>
      <c r="L37" s="96"/>
      <c r="M37" s="97">
        <f t="shared" si="5"/>
        <v>0</v>
      </c>
      <c r="N37" s="98">
        <f t="shared" si="6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IF($G$4=0,0,('01'!M38+'13'!M38+'02'!M38+'03'!M38+'04'!M38+'05'!M38+'06'!M38+'07'!M38+'08'!M38+'09'!M38+'10'!M38+'11'!M38+'12'!M38)/$G$4)</f>
        <v>0</v>
      </c>
      <c r="L38" s="96"/>
      <c r="M38" s="97">
        <f t="shared" si="5"/>
        <v>0</v>
      </c>
      <c r="N38" s="98">
        <f t="shared" si="6"/>
        <v>0</v>
      </c>
    </row>
    <row r="39" spans="1:14" ht="12.75">
      <c r="A39" s="138" t="s">
        <v>72</v>
      </c>
      <c r="B39" s="139">
        <v>110</v>
      </c>
      <c r="C39" s="141">
        <f aca="true" t="shared" si="7" ref="C39:J39">SUM(C33:C38)</f>
        <v>0</v>
      </c>
      <c r="D39" s="141">
        <f t="shared" si="7"/>
        <v>0</v>
      </c>
      <c r="E39" s="141">
        <f t="shared" si="7"/>
        <v>0</v>
      </c>
      <c r="F39" s="141">
        <f t="shared" si="7"/>
        <v>0</v>
      </c>
      <c r="G39" s="141">
        <f t="shared" si="7"/>
        <v>0</v>
      </c>
      <c r="H39" s="141">
        <f t="shared" si="7"/>
        <v>0</v>
      </c>
      <c r="I39" s="141">
        <f t="shared" si="7"/>
        <v>0</v>
      </c>
      <c r="J39" s="141">
        <f t="shared" si="7"/>
        <v>0</v>
      </c>
      <c r="K39" s="142">
        <f>IF($G$4=0,0,('01'!M39+'13'!M39+'02'!M39+'03'!M39+'04'!M39+'05'!M39+'06'!M39+'07'!M39+'08'!M39+'09'!M39+'10'!M39+'11'!M39+'12'!M39)/$G$4)</f>
        <v>0</v>
      </c>
      <c r="L39" s="141">
        <f>SUM(L33:L38)</f>
        <v>0</v>
      </c>
      <c r="M39" s="97">
        <f t="shared" si="5"/>
        <v>0</v>
      </c>
      <c r="N39" s="98">
        <f t="shared" si="6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IF($G$4=0,0,('01'!M40+'13'!M40+'02'!M40+'03'!M40+'04'!M40+'05'!M40+'06'!M40+'07'!M40+'08'!M40+'09'!M40+'10'!M40+'11'!M40+'12'!M40)/$G$4)</f>
        <v>0</v>
      </c>
      <c r="L40" s="96"/>
      <c r="M40" s="97">
        <f t="shared" si="5"/>
        <v>0</v>
      </c>
      <c r="N40" s="98">
        <f t="shared" si="6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IF($G$4=0,0,('01'!M41+'13'!M41+'02'!M41+'03'!M41+'04'!M41+'05'!M41+'06'!M41+'07'!M41+'08'!M41+'09'!M41+'10'!M41+'11'!M41+'12'!M41)/$G$4)</f>
        <v>0</v>
      </c>
      <c r="L41" s="96"/>
      <c r="M41" s="97">
        <f t="shared" si="5"/>
        <v>0</v>
      </c>
      <c r="N41" s="98">
        <f t="shared" si="6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2996824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308362</v>
      </c>
      <c r="F42" s="95">
        <f>'01M'!F42+'13M'!F42+'02M'!F42+'03M'!F42+'04M'!F42+'05M'!F42+'06M'!F42+'07M'!F42+'08M'!F42+'09M'!F42+'10M'!F42+'11M'!F42+'12M'!F42</f>
        <v>27300</v>
      </c>
      <c r="G42" s="95">
        <f>'01M'!G42+'13M'!G42+'02M'!G42+'03M'!G42+'04M'!G42+'05M'!G42+'06M'!G42+'07M'!G42+'08M'!G42+'09M'!G42+'10M'!G42+'11M'!G42+'12M'!G42</f>
        <v>17238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3349724</v>
      </c>
      <c r="K42" s="142">
        <f>IF($G$4=0,0,('01'!M42+'13'!M42+'02'!M42+'03'!M42+'04'!M42+'05'!M42+'06'!M42+'07'!M42+'08'!M42+'09'!M42+'10'!M42+'11'!M42+'12'!M42)/$G$4)</f>
        <v>2.125</v>
      </c>
      <c r="L42" s="96">
        <v>10017390</v>
      </c>
      <c r="M42" s="97">
        <f t="shared" si="5"/>
        <v>0.33439089423492546</v>
      </c>
      <c r="N42" s="98">
        <f t="shared" si="6"/>
        <v>197042.58823529413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6427728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667077</v>
      </c>
      <c r="F43" s="95">
        <f>'01M'!F43+'13M'!F43+'02M'!F43+'03M'!F43+'04M'!F43+'05M'!F43+'06M'!F43+'07M'!F43+'08M'!F43+'09M'!F43+'10M'!F43+'11M'!F43+'12M'!F43</f>
        <v>73032</v>
      </c>
      <c r="G43" s="95">
        <f>'01M'!G43+'13M'!G43+'02M'!G43+'03M'!G43+'04M'!G43+'05M'!G43+'06M'!G43+'07M'!G43+'08M'!G43+'09M'!G43+'10M'!G43+'11M'!G43+'12M'!G43</f>
        <v>43095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7210932</v>
      </c>
      <c r="K43" s="142">
        <f>IF($G$4=0,0,('01'!M43+'13'!M43+'02'!M43+'03'!M43+'04'!M43+'05'!M43+'06'!M43+'07'!M43+'08'!M43+'09'!M43+'10'!M43+'11'!M43+'12'!M43)/$G$4)</f>
        <v>5</v>
      </c>
      <c r="L43" s="96">
        <v>13034780</v>
      </c>
      <c r="M43" s="97">
        <f t="shared" si="5"/>
        <v>0.5532070353316282</v>
      </c>
      <c r="N43" s="98">
        <f t="shared" si="6"/>
        <v>180273.3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12611551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1278799</v>
      </c>
      <c r="F44" s="95">
        <f>'01M'!F44+'13M'!F44+'02M'!F44+'03M'!F44+'04M'!F44+'05M'!F44+'06M'!F44+'07M'!F44+'08M'!F44+'09M'!F44+'10M'!F44+'11M'!F44+'12M'!F44</f>
        <v>149955</v>
      </c>
      <c r="G44" s="95">
        <f>'01M'!G44+'13M'!G44+'02M'!G44+'03M'!G44+'04M'!G44+'05M'!G44+'06M'!G44+'07M'!G44+'08M'!G44+'09M'!G44+'10M'!G44+'11M'!G44+'12M'!G44</f>
        <v>93693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14133998</v>
      </c>
      <c r="K44" s="142">
        <f>IF($G$4=0,0,('01'!M44+'13'!M44+'02'!M44+'03'!M44+'04'!M44+'05'!M44+'06'!M44+'07'!M44+'08'!M44+'09'!M44+'10'!M44+'11'!M44+'12'!M44)/$G$4)</f>
        <v>8.5</v>
      </c>
      <c r="L44" s="96">
        <v>21676516</v>
      </c>
      <c r="M44" s="97">
        <f t="shared" si="5"/>
        <v>0.6520419609867194</v>
      </c>
      <c r="N44" s="98">
        <f t="shared" si="6"/>
        <v>207852.91176470587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31118089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3238641</v>
      </c>
      <c r="F45" s="95">
        <f>'01M'!F45+'13M'!F45+'02M'!F45+'03M'!F45+'04M'!F45+'05M'!F45+'06M'!F45+'07M'!F45+'08M'!F45+'09M'!F45+'10M'!F45+'11M'!F45+'12M'!F45</f>
        <v>512489</v>
      </c>
      <c r="G45" s="95">
        <f>'01M'!G45+'13M'!G45+'02M'!G45+'03M'!G45+'04M'!G45+'05M'!G45+'06M'!G45+'07M'!G45+'08M'!G45+'09M'!G45+'10M'!G45+'11M'!G45+'12M'!G45</f>
        <v>358299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35227518</v>
      </c>
      <c r="K45" s="142">
        <f>IF($G$4=0,0,('01'!M45+'13'!M45+'02'!M45+'03'!M45+'04'!M45+'05'!M45+'06'!M45+'07'!M45+'08'!M45+'09'!M45+'10'!M45+'11'!M45+'12'!M45)/$G$4)</f>
        <v>46.375</v>
      </c>
      <c r="L45" s="96">
        <v>41942598</v>
      </c>
      <c r="M45" s="97">
        <f t="shared" si="5"/>
        <v>0.8398983296170638</v>
      </c>
      <c r="N45" s="98">
        <f t="shared" si="6"/>
        <v>94952.87870619947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121319610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12887655</v>
      </c>
      <c r="F46" s="95">
        <f>'01M'!F46+'13M'!F46+'02M'!F46+'03M'!F46+'04M'!F46+'05M'!F46+'06M'!F46+'07M'!F46+'08M'!F46+'09M'!F46+'10M'!F46+'11M'!F46+'12M'!F46</f>
        <v>3944671</v>
      </c>
      <c r="G46" s="95">
        <f>'01M'!G46+'13M'!G46+'02M'!G46+'03M'!G46+'04M'!G46+'05M'!G46+'06M'!G46+'07M'!G46+'08M'!G46+'09M'!G46+'10M'!G46+'11M'!G46+'12M'!G46</f>
        <v>2662189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140814125</v>
      </c>
      <c r="K46" s="142">
        <f>IF($G$4=0,0,('01'!M46+'13'!M46+'02'!M46+'03'!M46+'04'!M46+'05'!M46+'06'!M46+'07'!M46+'08'!M46+'09'!M46+'10'!M46+'11'!M46+'12'!M46)/$G$4)</f>
        <v>312.75</v>
      </c>
      <c r="L46" s="96">
        <v>220762268</v>
      </c>
      <c r="M46" s="97">
        <f t="shared" si="5"/>
        <v>0.6378541327542441</v>
      </c>
      <c r="N46" s="98">
        <f t="shared" si="6"/>
        <v>56280.62549960032</v>
      </c>
    </row>
    <row r="47" spans="1:14" ht="12.75">
      <c r="A47" s="138" t="s">
        <v>74</v>
      </c>
      <c r="B47" s="139">
        <v>121</v>
      </c>
      <c r="C47" s="141">
        <f aca="true" t="shared" si="8" ref="C47:J47">SUM(C40:C46)</f>
        <v>174473802</v>
      </c>
      <c r="D47" s="141">
        <f t="shared" si="8"/>
        <v>0</v>
      </c>
      <c r="E47" s="141">
        <f t="shared" si="8"/>
        <v>18380534</v>
      </c>
      <c r="F47" s="141">
        <f t="shared" si="8"/>
        <v>4707447</v>
      </c>
      <c r="G47" s="141">
        <f t="shared" si="8"/>
        <v>3174514</v>
      </c>
      <c r="H47" s="141">
        <f t="shared" si="8"/>
        <v>0</v>
      </c>
      <c r="I47" s="141">
        <f t="shared" si="8"/>
        <v>0</v>
      </c>
      <c r="J47" s="141">
        <f t="shared" si="8"/>
        <v>200736297</v>
      </c>
      <c r="K47" s="142">
        <f>IF($G$4=0,0,('01'!M47+'13'!M47+'02'!M47+'03'!M47+'04'!M47+'05'!M47+'06'!M47+'07'!M47+'08'!M47+'09'!M47+'10'!M47+'11'!M47+'12'!M47)/$G$4)</f>
        <v>374.75</v>
      </c>
      <c r="L47" s="141">
        <f>SUM(L40:L46)</f>
        <v>307433552</v>
      </c>
      <c r="M47" s="97">
        <f t="shared" si="5"/>
        <v>0.6529420607936768</v>
      </c>
      <c r="N47" s="98">
        <f t="shared" si="6"/>
        <v>66956.7368245497</v>
      </c>
    </row>
    <row r="48" spans="1:14" ht="12.75">
      <c r="A48" s="138" t="s">
        <v>70</v>
      </c>
      <c r="B48" s="139">
        <v>152</v>
      </c>
      <c r="C48" s="141">
        <f aca="true" t="shared" si="9" ref="C48:J48">C32+C39+C47</f>
        <v>193937826</v>
      </c>
      <c r="D48" s="141">
        <f t="shared" si="9"/>
        <v>0</v>
      </c>
      <c r="E48" s="141">
        <f t="shared" si="9"/>
        <v>20276453</v>
      </c>
      <c r="F48" s="141">
        <f t="shared" si="9"/>
        <v>5456182</v>
      </c>
      <c r="G48" s="141">
        <f t="shared" si="9"/>
        <v>3269530</v>
      </c>
      <c r="H48" s="141">
        <f t="shared" si="9"/>
        <v>0</v>
      </c>
      <c r="I48" s="141">
        <f t="shared" si="9"/>
        <v>0</v>
      </c>
      <c r="J48" s="141">
        <f t="shared" si="9"/>
        <v>222939991</v>
      </c>
      <c r="K48" s="142">
        <f>IF($G$4=0,0,('01'!M48+'13'!M48+'02'!M48+'03'!M48+'04'!M48+'05'!M48+'06'!M48+'07'!M48+'08'!M48+'09'!M48+'10'!M48+'11'!M48+'12'!M48)/$G$4)</f>
        <v>433.375</v>
      </c>
      <c r="L48" s="141">
        <f>L32+L39+L47</f>
        <v>356242044</v>
      </c>
      <c r="M48" s="97">
        <f t="shared" si="5"/>
        <v>0.6258104419589509</v>
      </c>
      <c r="N48" s="98">
        <f t="shared" si="6"/>
        <v>64303.429766368616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1247236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117155</v>
      </c>
      <c r="F49" s="95">
        <f>'01M'!F49+'13M'!F49+'02M'!F49+'03M'!F49+'04M'!F49+'05M'!F49+'06M'!F49+'07M'!F49+'08M'!F49+'09M'!F49+'10M'!F49+'11M'!F49+'12M'!F49</f>
        <v>37262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1401653</v>
      </c>
      <c r="K49" s="142">
        <f>IF($G$4=0,0,('01'!M49+'13'!M49+'02'!M49+'03'!M49+'04'!M49+'05'!M49+'06'!M49+'07'!M49+'08'!M49+'09'!M49+'10'!M49+'11'!M49+'12'!M49)/$G$4)</f>
        <v>4.75</v>
      </c>
      <c r="L49" s="96">
        <v>1606956</v>
      </c>
      <c r="M49" s="97">
        <f t="shared" si="5"/>
        <v>0.8722410570046721</v>
      </c>
      <c r="N49" s="98">
        <f t="shared" si="6"/>
        <v>36885.60526315789</v>
      </c>
    </row>
    <row r="50" spans="1:14" ht="12.75">
      <c r="A50" s="138" t="s">
        <v>75</v>
      </c>
      <c r="B50" s="139">
        <v>159</v>
      </c>
      <c r="C50" s="141">
        <f aca="true" t="shared" si="10" ref="C50:J50">C48+C49</f>
        <v>195185062</v>
      </c>
      <c r="D50" s="141">
        <f t="shared" si="10"/>
        <v>0</v>
      </c>
      <c r="E50" s="141">
        <f t="shared" si="10"/>
        <v>20393608</v>
      </c>
      <c r="F50" s="141">
        <f t="shared" si="10"/>
        <v>5493444</v>
      </c>
      <c r="G50" s="141">
        <f t="shared" si="10"/>
        <v>3269530</v>
      </c>
      <c r="H50" s="141">
        <f t="shared" si="10"/>
        <v>0</v>
      </c>
      <c r="I50" s="141">
        <f t="shared" si="10"/>
        <v>0</v>
      </c>
      <c r="J50" s="141">
        <f t="shared" si="10"/>
        <v>224341644</v>
      </c>
      <c r="K50" s="143">
        <f>K48+K49</f>
        <v>438.125</v>
      </c>
      <c r="L50" s="141">
        <f>L48+L49</f>
        <v>357849000</v>
      </c>
      <c r="M50" s="97">
        <f t="shared" si="5"/>
        <v>0.6269170627834645</v>
      </c>
      <c r="N50" s="98">
        <f t="shared" si="6"/>
        <v>64006.17517831669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9"/>
      <c r="M52" s="158"/>
      <c r="N52" s="159"/>
    </row>
    <row r="53" spans="1:14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58"/>
      <c r="N53" s="159"/>
    </row>
    <row r="54" spans="1:14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 t="s">
        <v>39</v>
      </c>
      <c r="B55" s="55">
        <f aca="true" t="shared" si="11" ref="B55:B74">IF(A55="","",VLOOKUP(A55,$A$12:$B$50,2,FALSE))</f>
        <v>82</v>
      </c>
      <c r="C55" s="55">
        <v>22720</v>
      </c>
      <c r="D55" s="55"/>
      <c r="E55" s="55">
        <v>1868</v>
      </c>
      <c r="F55" s="55"/>
      <c r="G55" s="55"/>
      <c r="H55" s="55"/>
      <c r="I55" s="55"/>
      <c r="J55" s="128">
        <f>SUM(C55:I55)</f>
        <v>24588</v>
      </c>
      <c r="K55" s="55"/>
      <c r="L55" s="55"/>
      <c r="M55" s="158"/>
      <c r="N55" s="159"/>
    </row>
    <row r="56" spans="1:14" ht="12.75">
      <c r="A56" s="58" t="s">
        <v>32</v>
      </c>
      <c r="B56" s="59">
        <f t="shared" si="11"/>
        <v>83</v>
      </c>
      <c r="C56" s="59">
        <v>98891</v>
      </c>
      <c r="D56" s="59"/>
      <c r="E56" s="59">
        <v>10285</v>
      </c>
      <c r="F56" s="59"/>
      <c r="G56" s="59"/>
      <c r="H56" s="59"/>
      <c r="I56" s="59"/>
      <c r="J56" s="128">
        <f aca="true" t="shared" si="12" ref="J56:J68">SUM(C56:I56)</f>
        <v>109176</v>
      </c>
      <c r="K56" s="59"/>
      <c r="L56" s="59"/>
      <c r="M56" s="158"/>
      <c r="N56" s="159"/>
    </row>
    <row r="57" spans="1:14" ht="12.75">
      <c r="A57" s="58" t="s">
        <v>33</v>
      </c>
      <c r="B57" s="59">
        <f t="shared" si="11"/>
        <v>84</v>
      </c>
      <c r="C57" s="59">
        <v>101344</v>
      </c>
      <c r="D57" s="59"/>
      <c r="E57" s="59">
        <v>10200</v>
      </c>
      <c r="F57" s="59"/>
      <c r="G57" s="59"/>
      <c r="H57" s="59"/>
      <c r="I57" s="59"/>
      <c r="J57" s="128">
        <f t="shared" si="12"/>
        <v>111544</v>
      </c>
      <c r="K57" s="59"/>
      <c r="L57" s="59"/>
      <c r="M57" s="158"/>
      <c r="N57" s="159"/>
    </row>
    <row r="58" spans="1:14" ht="12.75">
      <c r="A58" s="58" t="s">
        <v>34</v>
      </c>
      <c r="B58" s="59">
        <f t="shared" si="11"/>
        <v>85</v>
      </c>
      <c r="C58" s="59"/>
      <c r="D58" s="59"/>
      <c r="E58" s="59"/>
      <c r="F58" s="59"/>
      <c r="G58" s="59"/>
      <c r="H58" s="59"/>
      <c r="I58" s="59"/>
      <c r="J58" s="128">
        <f t="shared" si="12"/>
        <v>0</v>
      </c>
      <c r="K58" s="59"/>
      <c r="L58" s="59"/>
      <c r="M58" s="158"/>
      <c r="N58" s="159"/>
    </row>
    <row r="59" spans="1:14" ht="12.75">
      <c r="A59" s="54" t="s">
        <v>35</v>
      </c>
      <c r="B59" s="55">
        <f t="shared" si="11"/>
        <v>86</v>
      </c>
      <c r="C59" s="55">
        <v>46039</v>
      </c>
      <c r="D59" s="55"/>
      <c r="E59" s="55">
        <v>1880</v>
      </c>
      <c r="F59" s="55"/>
      <c r="G59" s="55"/>
      <c r="H59" s="55"/>
      <c r="I59" s="55"/>
      <c r="J59" s="128">
        <f t="shared" si="12"/>
        <v>47919</v>
      </c>
      <c r="K59" s="55"/>
      <c r="L59" s="55"/>
      <c r="M59" s="158"/>
      <c r="N59" s="159"/>
    </row>
    <row r="60" spans="1:14" ht="12.75">
      <c r="A60" s="58" t="s">
        <v>36</v>
      </c>
      <c r="B60" s="59">
        <f t="shared" si="11"/>
        <v>87</v>
      </c>
      <c r="C60" s="59"/>
      <c r="D60" s="59"/>
      <c r="E60" s="59"/>
      <c r="F60" s="59"/>
      <c r="G60" s="59"/>
      <c r="H60" s="59"/>
      <c r="I60" s="59"/>
      <c r="J60" s="128">
        <f t="shared" si="12"/>
        <v>0</v>
      </c>
      <c r="K60" s="59"/>
      <c r="L60" s="59"/>
      <c r="M60" s="158"/>
      <c r="N60" s="159"/>
    </row>
    <row r="61" spans="1:14" ht="12.75">
      <c r="A61" s="58" t="s">
        <v>37</v>
      </c>
      <c r="B61" s="59">
        <f t="shared" si="11"/>
        <v>88</v>
      </c>
      <c r="C61" s="59"/>
      <c r="D61" s="59"/>
      <c r="E61" s="59"/>
      <c r="F61" s="59"/>
      <c r="G61" s="59"/>
      <c r="H61" s="59"/>
      <c r="I61" s="59"/>
      <c r="J61" s="128">
        <f t="shared" si="12"/>
        <v>0</v>
      </c>
      <c r="K61" s="59"/>
      <c r="L61" s="59"/>
      <c r="M61" s="158"/>
      <c r="N61" s="159"/>
    </row>
    <row r="62" spans="1:14" ht="12.75">
      <c r="A62" s="58" t="s">
        <v>40</v>
      </c>
      <c r="B62" s="59">
        <f t="shared" si="11"/>
        <v>89</v>
      </c>
      <c r="C62" s="59">
        <v>47357</v>
      </c>
      <c r="D62" s="59"/>
      <c r="E62" s="59">
        <v>1440</v>
      </c>
      <c r="F62" s="59"/>
      <c r="G62" s="59"/>
      <c r="H62" s="59"/>
      <c r="I62" s="59"/>
      <c r="J62" s="128">
        <f t="shared" si="12"/>
        <v>48797</v>
      </c>
      <c r="K62" s="59"/>
      <c r="L62" s="59"/>
      <c r="M62" s="158"/>
      <c r="N62" s="159"/>
    </row>
    <row r="63" spans="1:14" ht="12.75">
      <c r="A63" s="54" t="s">
        <v>59</v>
      </c>
      <c r="B63" s="55">
        <f t="shared" si="11"/>
        <v>73</v>
      </c>
      <c r="C63" s="55">
        <v>505742</v>
      </c>
      <c r="D63" s="55"/>
      <c r="E63" s="55">
        <v>52318</v>
      </c>
      <c r="F63" s="55"/>
      <c r="G63" s="55"/>
      <c r="H63" s="55"/>
      <c r="I63" s="55"/>
      <c r="J63" s="128">
        <f t="shared" si="12"/>
        <v>558060</v>
      </c>
      <c r="K63" s="55"/>
      <c r="L63" s="55"/>
      <c r="M63" s="158"/>
      <c r="N63" s="159"/>
    </row>
    <row r="64" spans="1:14" ht="12.75">
      <c r="A64" s="58" t="s">
        <v>60</v>
      </c>
      <c r="B64" s="59">
        <f t="shared" si="11"/>
        <v>74</v>
      </c>
      <c r="C64" s="59">
        <v>809383</v>
      </c>
      <c r="D64" s="59"/>
      <c r="E64" s="59">
        <v>83729</v>
      </c>
      <c r="F64" s="59">
        <v>4782</v>
      </c>
      <c r="G64" s="59"/>
      <c r="H64" s="59"/>
      <c r="I64" s="59"/>
      <c r="J64" s="128">
        <f t="shared" si="12"/>
        <v>897894</v>
      </c>
      <c r="K64" s="59"/>
      <c r="L64" s="59"/>
      <c r="M64" s="158"/>
      <c r="N64" s="159"/>
    </row>
    <row r="65" spans="1:14" ht="12.75">
      <c r="A65" s="58" t="s">
        <v>61</v>
      </c>
      <c r="B65" s="59">
        <f t="shared" si="11"/>
        <v>75</v>
      </c>
      <c r="C65" s="59">
        <v>1847774</v>
      </c>
      <c r="D65" s="59"/>
      <c r="E65" s="59">
        <v>158304</v>
      </c>
      <c r="F65" s="59">
        <v>3830</v>
      </c>
      <c r="G65" s="59"/>
      <c r="H65" s="59"/>
      <c r="I65" s="59"/>
      <c r="J65" s="128">
        <f t="shared" si="12"/>
        <v>2009908</v>
      </c>
      <c r="K65" s="59"/>
      <c r="L65" s="59"/>
      <c r="M65" s="158"/>
      <c r="N65" s="159"/>
    </row>
    <row r="66" spans="1:14" ht="12.75">
      <c r="A66" s="58" t="s">
        <v>62</v>
      </c>
      <c r="B66" s="59">
        <f t="shared" si="11"/>
        <v>119</v>
      </c>
      <c r="C66" s="59">
        <v>2113761</v>
      </c>
      <c r="D66" s="59"/>
      <c r="E66" s="59">
        <v>243433</v>
      </c>
      <c r="F66" s="59">
        <v>6088</v>
      </c>
      <c r="G66" s="59"/>
      <c r="H66" s="59"/>
      <c r="I66" s="59"/>
      <c r="J66" s="128">
        <f t="shared" si="12"/>
        <v>2363282</v>
      </c>
      <c r="K66" s="59"/>
      <c r="L66" s="59"/>
      <c r="M66" s="158"/>
      <c r="N66" s="159"/>
    </row>
    <row r="67" spans="1:14" ht="12.75">
      <c r="A67" s="54" t="s">
        <v>63</v>
      </c>
      <c r="B67" s="55">
        <f t="shared" si="11"/>
        <v>120</v>
      </c>
      <c r="C67" s="55">
        <v>2744103</v>
      </c>
      <c r="D67" s="55"/>
      <c r="E67" s="55">
        <v>267207</v>
      </c>
      <c r="F67" s="55">
        <v>1312</v>
      </c>
      <c r="G67" s="55"/>
      <c r="H67" s="55"/>
      <c r="I67" s="55"/>
      <c r="J67" s="128">
        <f t="shared" si="12"/>
        <v>3012622</v>
      </c>
      <c r="K67" s="55"/>
      <c r="L67" s="55"/>
      <c r="M67" s="158"/>
      <c r="N67" s="159"/>
    </row>
    <row r="68" spans="1:14" ht="12.75">
      <c r="A68" s="58" t="s">
        <v>51</v>
      </c>
      <c r="B68" s="59">
        <f t="shared" si="11"/>
        <v>158</v>
      </c>
      <c r="C68" s="59">
        <v>47356</v>
      </c>
      <c r="D68" s="59"/>
      <c r="E68" s="59">
        <v>1440</v>
      </c>
      <c r="F68" s="59"/>
      <c r="G68" s="59"/>
      <c r="H68" s="59"/>
      <c r="I68" s="59"/>
      <c r="J68" s="128">
        <f t="shared" si="12"/>
        <v>48796</v>
      </c>
      <c r="K68" s="59"/>
      <c r="L68" s="59"/>
      <c r="M68" s="158"/>
      <c r="N68" s="159"/>
    </row>
    <row r="69" spans="1:14" ht="12.75">
      <c r="A69" s="58"/>
      <c r="B69" s="59">
        <f t="shared" si="11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11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11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11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11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11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74" t="s">
        <v>230</v>
      </c>
      <c r="C76" s="204"/>
      <c r="D76" s="204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73" t="s">
        <v>224</v>
      </c>
      <c r="I77" s="205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200" t="s">
        <v>48</v>
      </c>
      <c r="I78" s="200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M51:M73 N12:N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218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86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491498</v>
      </c>
      <c r="D23" s="41"/>
      <c r="E23" s="41">
        <v>48469</v>
      </c>
      <c r="F23" s="41">
        <v>26000</v>
      </c>
      <c r="G23" s="41">
        <v>21165</v>
      </c>
      <c r="H23" s="41"/>
      <c r="I23" s="41"/>
      <c r="J23" s="42">
        <f t="shared" si="0"/>
        <v>587132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323261</v>
      </c>
      <c r="D24" s="41"/>
      <c r="E24" s="41">
        <v>33495</v>
      </c>
      <c r="F24" s="41">
        <v>15600</v>
      </c>
      <c r="G24" s="41">
        <v>15924</v>
      </c>
      <c r="H24" s="41"/>
      <c r="I24" s="41"/>
      <c r="J24" s="42">
        <f t="shared" si="0"/>
        <v>388280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589141</v>
      </c>
      <c r="D25" s="41"/>
      <c r="E25" s="41">
        <v>60343</v>
      </c>
      <c r="F25" s="41">
        <v>35945</v>
      </c>
      <c r="G25" s="41">
        <v>33864</v>
      </c>
      <c r="H25" s="41"/>
      <c r="I25" s="41"/>
      <c r="J25" s="42">
        <f t="shared" si="0"/>
        <v>719293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60603</v>
      </c>
      <c r="D26" s="41"/>
      <c r="E26" s="41">
        <v>6269</v>
      </c>
      <c r="F26" s="41">
        <v>1950</v>
      </c>
      <c r="G26" s="41">
        <v>4458</v>
      </c>
      <c r="H26" s="41"/>
      <c r="I26" s="41"/>
      <c r="J26" s="42">
        <f t="shared" si="0"/>
        <v>73280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303025</v>
      </c>
      <c r="D28" s="41"/>
      <c r="E28" s="41">
        <v>31254</v>
      </c>
      <c r="F28" s="41">
        <v>9750</v>
      </c>
      <c r="G28" s="41">
        <v>7233</v>
      </c>
      <c r="H28" s="41"/>
      <c r="I28" s="41"/>
      <c r="J28" s="42">
        <f t="shared" si="0"/>
        <v>351262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200463</v>
      </c>
      <c r="D30" s="41"/>
      <c r="E30" s="41">
        <v>20531</v>
      </c>
      <c r="F30" s="41">
        <v>5850</v>
      </c>
      <c r="G30" s="41">
        <v>9052</v>
      </c>
      <c r="H30" s="41"/>
      <c r="I30" s="41"/>
      <c r="J30" s="42">
        <f t="shared" si="0"/>
        <v>235896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1967991</v>
      </c>
      <c r="D32" s="45">
        <f>SUM(D12:D31)</f>
        <v>0</v>
      </c>
      <c r="E32" s="45">
        <f t="shared" si="1"/>
        <v>200361</v>
      </c>
      <c r="F32" s="45">
        <f t="shared" si="1"/>
        <v>95095</v>
      </c>
      <c r="G32" s="45">
        <f t="shared" si="1"/>
        <v>91696</v>
      </c>
      <c r="H32" s="45">
        <f t="shared" si="1"/>
        <v>0</v>
      </c>
      <c r="I32" s="45">
        <f t="shared" si="1"/>
        <v>0</v>
      </c>
      <c r="J32" s="42">
        <f t="shared" si="0"/>
        <v>2355143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749217</v>
      </c>
      <c r="D42" s="41"/>
      <c r="E42" s="41">
        <v>75436</v>
      </c>
      <c r="F42" s="41">
        <v>3900</v>
      </c>
      <c r="G42" s="41">
        <v>2354</v>
      </c>
      <c r="H42" s="41"/>
      <c r="I42" s="41"/>
      <c r="J42" s="42">
        <f t="shared" si="0"/>
        <v>830907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668533</v>
      </c>
      <c r="D43" s="41"/>
      <c r="E43" s="41">
        <v>69151</v>
      </c>
      <c r="F43" s="41">
        <v>9750</v>
      </c>
      <c r="G43" s="41">
        <v>5885</v>
      </c>
      <c r="H43" s="41"/>
      <c r="I43" s="41"/>
      <c r="J43" s="42">
        <f t="shared" si="0"/>
        <v>753319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2143519</v>
      </c>
      <c r="D44" s="41"/>
      <c r="E44" s="41">
        <v>221743</v>
      </c>
      <c r="F44" s="41">
        <v>24830</v>
      </c>
      <c r="G44" s="41">
        <v>12947</v>
      </c>
      <c r="H44" s="41"/>
      <c r="I44" s="41"/>
      <c r="J44" s="42">
        <f t="shared" si="0"/>
        <v>2403039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5333278</v>
      </c>
      <c r="D45" s="41"/>
      <c r="E45" s="41">
        <v>547137</v>
      </c>
      <c r="F45" s="41">
        <v>76479</v>
      </c>
      <c r="G45" s="41">
        <v>48183</v>
      </c>
      <c r="H45" s="41"/>
      <c r="I45" s="41"/>
      <c r="J45" s="42">
        <f t="shared" si="0"/>
        <v>6005077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14380149</v>
      </c>
      <c r="D46" s="41"/>
      <c r="E46" s="41">
        <v>1518954</v>
      </c>
      <c r="F46" s="41">
        <v>550052</v>
      </c>
      <c r="G46" s="41">
        <v>361339</v>
      </c>
      <c r="H46" s="41"/>
      <c r="I46" s="41"/>
      <c r="J46" s="42">
        <f t="shared" si="0"/>
        <v>16810494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23274696</v>
      </c>
      <c r="D47" s="45">
        <f>SUM(D40:D46)</f>
        <v>0</v>
      </c>
      <c r="E47" s="45">
        <f t="shared" si="3"/>
        <v>2432421</v>
      </c>
      <c r="F47" s="45">
        <f t="shared" si="3"/>
        <v>665011</v>
      </c>
      <c r="G47" s="45">
        <f t="shared" si="3"/>
        <v>430708</v>
      </c>
      <c r="H47" s="45">
        <f t="shared" si="3"/>
        <v>0</v>
      </c>
      <c r="I47" s="45">
        <f t="shared" si="3"/>
        <v>0</v>
      </c>
      <c r="J47" s="42">
        <f t="shared" si="0"/>
        <v>26802836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25242687</v>
      </c>
      <c r="D48" s="45">
        <f>D32+D39+D47</f>
        <v>0</v>
      </c>
      <c r="E48" s="45">
        <f t="shared" si="4"/>
        <v>2632782</v>
      </c>
      <c r="F48" s="45">
        <f t="shared" si="4"/>
        <v>760106</v>
      </c>
      <c r="G48" s="45">
        <f t="shared" si="4"/>
        <v>522404</v>
      </c>
      <c r="H48" s="45">
        <f t="shared" si="4"/>
        <v>0</v>
      </c>
      <c r="I48" s="45">
        <f t="shared" si="4"/>
        <v>0</v>
      </c>
      <c r="J48" s="42">
        <f t="shared" si="0"/>
        <v>29157979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98309</v>
      </c>
      <c r="D49" s="49"/>
      <c r="E49" s="49">
        <v>10170</v>
      </c>
      <c r="F49" s="49">
        <v>4631</v>
      </c>
      <c r="G49" s="49"/>
      <c r="H49" s="49"/>
      <c r="I49" s="49"/>
      <c r="J49" s="42">
        <f t="shared" si="0"/>
        <v>113110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25340996</v>
      </c>
      <c r="D50" s="45">
        <f>D48+D49</f>
        <v>0</v>
      </c>
      <c r="E50" s="45">
        <f t="shared" si="5"/>
        <v>2642952</v>
      </c>
      <c r="F50" s="45">
        <f t="shared" si="5"/>
        <v>764737</v>
      </c>
      <c r="G50" s="45">
        <f t="shared" si="5"/>
        <v>522404</v>
      </c>
      <c r="H50" s="45">
        <f t="shared" si="5"/>
        <v>0</v>
      </c>
      <c r="I50" s="45">
        <f t="shared" si="5"/>
        <v>0</v>
      </c>
      <c r="J50" s="42">
        <f t="shared" si="0"/>
        <v>29271089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59</v>
      </c>
      <c r="B55" s="55">
        <f>IF(A55="","",VLOOKUP(A55,$A$12:$B$50,2,FALSE))</f>
        <v>73</v>
      </c>
      <c r="C55" s="55">
        <v>505742</v>
      </c>
      <c r="D55" s="55"/>
      <c r="E55" s="55">
        <v>52318</v>
      </c>
      <c r="F55" s="55"/>
      <c r="G55" s="55"/>
      <c r="H55" s="55"/>
      <c r="I55" s="55"/>
      <c r="J55" s="128">
        <f>SUM(C55:I55)</f>
        <v>558060</v>
      </c>
      <c r="K55" s="55">
        <v>21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9">
        <v>685966</v>
      </c>
      <c r="D56" s="59"/>
      <c r="E56" s="59">
        <v>70962</v>
      </c>
      <c r="F56" s="59"/>
      <c r="G56" s="59"/>
      <c r="H56" s="59"/>
      <c r="I56" s="59"/>
      <c r="J56" s="128">
        <f>SUM(C56:I56)</f>
        <v>756928</v>
      </c>
      <c r="K56" s="59">
        <v>21</v>
      </c>
      <c r="L56" s="60">
        <v>21</v>
      </c>
      <c r="M56" s="129"/>
      <c r="N56" s="112"/>
      <c r="O56" s="114"/>
      <c r="P56" s="130"/>
    </row>
    <row r="57" spans="1:16" s="46" customFormat="1" ht="12.75">
      <c r="A57" s="58" t="s">
        <v>62</v>
      </c>
      <c r="B57" s="59">
        <f>IF(A57="","",VLOOKUP(A57,$A$12:$B$50,2,FALSE))</f>
        <v>119</v>
      </c>
      <c r="C57" s="59">
        <v>1530265</v>
      </c>
      <c r="D57" s="59"/>
      <c r="E57" s="59">
        <v>172030</v>
      </c>
      <c r="F57" s="59">
        <v>3098</v>
      </c>
      <c r="G57" s="59"/>
      <c r="H57" s="59"/>
      <c r="I57" s="59"/>
      <c r="J57" s="128">
        <f>SUM(C57:I57)</f>
        <v>1705393</v>
      </c>
      <c r="K57" s="59">
        <v>21</v>
      </c>
      <c r="L57" s="60">
        <v>21</v>
      </c>
      <c r="M57" s="129"/>
      <c r="N57" s="112"/>
      <c r="O57" s="114"/>
      <c r="P57" s="130"/>
    </row>
    <row r="58" spans="1:16" s="46" customFormat="1" ht="12.75">
      <c r="A58" s="58" t="s">
        <v>63</v>
      </c>
      <c r="B58" s="59"/>
      <c r="C58" s="59">
        <v>1149180</v>
      </c>
      <c r="D58" s="59"/>
      <c r="E58" s="59">
        <v>115405</v>
      </c>
      <c r="F58" s="59">
        <v>447</v>
      </c>
      <c r="G58" s="59"/>
      <c r="H58" s="59"/>
      <c r="I58" s="59"/>
      <c r="J58" s="128">
        <f>SUM(C58:I58)</f>
        <v>1265032</v>
      </c>
      <c r="K58" s="59">
        <v>21</v>
      </c>
      <c r="L58" s="60">
        <v>21</v>
      </c>
      <c r="M58" s="129"/>
      <c r="N58" s="112"/>
      <c r="O58" s="114"/>
      <c r="P58" s="130"/>
    </row>
    <row r="59" spans="1:16" ht="12.75">
      <c r="A59" s="58" t="s">
        <v>32</v>
      </c>
      <c r="B59" s="59">
        <f>IF(A59="","",VLOOKUP(A59,$A$12:$B$50,2,FALSE))</f>
        <v>83</v>
      </c>
      <c r="C59" s="59">
        <v>53071</v>
      </c>
      <c r="D59" s="59"/>
      <c r="E59" s="59">
        <v>5545</v>
      </c>
      <c r="F59" s="59"/>
      <c r="G59" s="59"/>
      <c r="H59" s="59"/>
      <c r="I59" s="59"/>
      <c r="J59" s="128">
        <f>SUM(C59:I59)</f>
        <v>58616</v>
      </c>
      <c r="K59" s="59">
        <v>21</v>
      </c>
      <c r="L59" s="60">
        <v>21</v>
      </c>
      <c r="M59" s="129"/>
      <c r="N59" s="112"/>
      <c r="O59" s="132"/>
      <c r="P59" s="43"/>
    </row>
    <row r="61" spans="1:6" ht="12.75">
      <c r="A61" s="61" t="s">
        <v>21</v>
      </c>
      <c r="B61" s="174" t="s">
        <v>213</v>
      </c>
      <c r="C61" s="174"/>
      <c r="D61" s="174"/>
      <c r="E61" s="174"/>
      <c r="F61" s="62"/>
    </row>
    <row r="62" spans="8:9" ht="12.75">
      <c r="H62" s="173" t="s">
        <v>214</v>
      </c>
      <c r="I62" s="173"/>
    </row>
    <row r="63" spans="8:9" ht="12.75">
      <c r="H63" s="172" t="s">
        <v>48</v>
      </c>
      <c r="I63" s="172"/>
    </row>
  </sheetData>
  <sheetProtection/>
  <mergeCells count="10">
    <mergeCell ref="H2:I2"/>
    <mergeCell ref="H3:I3"/>
    <mergeCell ref="B61:E61"/>
    <mergeCell ref="H62:I62"/>
    <mergeCell ref="K53:L53"/>
    <mergeCell ref="A52:L52"/>
    <mergeCell ref="H63:I63"/>
    <mergeCell ref="A5:E5"/>
    <mergeCell ref="G5:J5"/>
    <mergeCell ref="A53:A54"/>
  </mergeCells>
  <dataValidations count="1">
    <dataValidation type="list" allowBlank="1" showInputMessage="1" showErrorMessage="1" sqref="A55:A5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3.875" style="2" bestFit="1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210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87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/>
      <c r="E22" s="41"/>
      <c r="F22" s="41"/>
      <c r="G22" s="41"/>
      <c r="H22" s="41"/>
      <c r="I22" s="41"/>
      <c r="J22" s="165"/>
      <c r="K22" s="42">
        <f aca="true" t="shared" si="1" ref="K22:K31">SUM(C22:I22)</f>
        <v>0</v>
      </c>
      <c r="L22" s="41"/>
      <c r="M22" s="41">
        <v>0</v>
      </c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718133</v>
      </c>
      <c r="D23" s="41"/>
      <c r="E23" s="41"/>
      <c r="F23" s="41"/>
      <c r="G23" s="41"/>
      <c r="H23" s="41"/>
      <c r="I23" s="41"/>
      <c r="J23" s="165"/>
      <c r="K23" s="42">
        <f t="shared" si="1"/>
        <v>718133</v>
      </c>
      <c r="L23" s="41"/>
      <c r="M23" s="41">
        <v>14</v>
      </c>
      <c r="N23" s="41"/>
    </row>
    <row r="24" spans="1:14" ht="12.75">
      <c r="A24" s="39" t="s">
        <v>32</v>
      </c>
      <c r="B24" s="40">
        <v>83</v>
      </c>
      <c r="C24" s="41">
        <v>387077</v>
      </c>
      <c r="D24" s="41"/>
      <c r="E24" s="41"/>
      <c r="F24" s="41"/>
      <c r="G24" s="41"/>
      <c r="H24" s="41"/>
      <c r="I24" s="41"/>
      <c r="J24" s="165"/>
      <c r="K24" s="42">
        <f t="shared" si="1"/>
        <v>387077</v>
      </c>
      <c r="L24" s="41"/>
      <c r="M24" s="41">
        <v>8</v>
      </c>
      <c r="N24" s="41"/>
    </row>
    <row r="25" spans="1:14" ht="12.75">
      <c r="A25" s="39" t="s">
        <v>33</v>
      </c>
      <c r="B25" s="40">
        <v>84</v>
      </c>
      <c r="C25" s="41">
        <v>998979</v>
      </c>
      <c r="D25" s="41"/>
      <c r="E25" s="41"/>
      <c r="F25" s="41"/>
      <c r="G25" s="41"/>
      <c r="H25" s="41"/>
      <c r="I25" s="41"/>
      <c r="J25" s="165"/>
      <c r="K25" s="42">
        <f t="shared" si="1"/>
        <v>998979</v>
      </c>
      <c r="L25" s="41"/>
      <c r="M25" s="41">
        <v>20</v>
      </c>
      <c r="N25" s="41"/>
    </row>
    <row r="26" spans="1:14" ht="12.75">
      <c r="A26" s="39" t="s">
        <v>34</v>
      </c>
      <c r="B26" s="40">
        <v>85</v>
      </c>
      <c r="C26" s="41">
        <v>103598</v>
      </c>
      <c r="D26" s="41"/>
      <c r="E26" s="41"/>
      <c r="F26" s="41"/>
      <c r="G26" s="41"/>
      <c r="H26" s="41"/>
      <c r="I26" s="41"/>
      <c r="J26" s="165"/>
      <c r="K26" s="42">
        <f t="shared" si="1"/>
        <v>103598</v>
      </c>
      <c r="L26" s="41"/>
      <c r="M26" s="41">
        <v>1</v>
      </c>
      <c r="N26" s="41"/>
    </row>
    <row r="27" spans="1:14" ht="12.75">
      <c r="A27" s="39" t="s">
        <v>35</v>
      </c>
      <c r="B27" s="40">
        <v>86</v>
      </c>
      <c r="C27" s="41">
        <v>0</v>
      </c>
      <c r="D27" s="41"/>
      <c r="E27" s="41"/>
      <c r="F27" s="41"/>
      <c r="G27" s="41"/>
      <c r="H27" s="41"/>
      <c r="I27" s="41"/>
      <c r="J27" s="165"/>
      <c r="K27" s="42">
        <f t="shared" si="1"/>
        <v>0</v>
      </c>
      <c r="L27" s="41"/>
      <c r="M27" s="41">
        <v>0</v>
      </c>
      <c r="N27" s="41"/>
    </row>
    <row r="28" spans="1:14" ht="12.75">
      <c r="A28" s="39" t="s">
        <v>36</v>
      </c>
      <c r="B28" s="40">
        <v>87</v>
      </c>
      <c r="C28" s="41">
        <v>560844</v>
      </c>
      <c r="D28" s="41"/>
      <c r="E28" s="41"/>
      <c r="F28" s="41"/>
      <c r="G28" s="41"/>
      <c r="H28" s="41"/>
      <c r="I28" s="41"/>
      <c r="J28" s="165"/>
      <c r="K28" s="42">
        <f t="shared" si="1"/>
        <v>560844</v>
      </c>
      <c r="L28" s="41"/>
      <c r="M28" s="41">
        <v>6</v>
      </c>
      <c r="N28" s="41"/>
    </row>
    <row r="29" spans="1:14" ht="12.75">
      <c r="A29" s="39" t="s">
        <v>37</v>
      </c>
      <c r="B29" s="40">
        <v>88</v>
      </c>
      <c r="C29" s="41">
        <v>0</v>
      </c>
      <c r="D29" s="41"/>
      <c r="E29" s="41"/>
      <c r="F29" s="41"/>
      <c r="G29" s="41"/>
      <c r="H29" s="41"/>
      <c r="I29" s="41"/>
      <c r="J29" s="165"/>
      <c r="K29" s="42">
        <f t="shared" si="1"/>
        <v>0</v>
      </c>
      <c r="L29" s="41"/>
      <c r="M29" s="41">
        <v>0</v>
      </c>
      <c r="N29" s="41"/>
    </row>
    <row r="30" spans="1:14" ht="12.75">
      <c r="A30" s="39" t="s">
        <v>40</v>
      </c>
      <c r="B30" s="40">
        <v>89</v>
      </c>
      <c r="C30" s="41">
        <v>273234</v>
      </c>
      <c r="D30" s="41"/>
      <c r="E30" s="41"/>
      <c r="F30" s="41"/>
      <c r="G30" s="41"/>
      <c r="H30" s="41"/>
      <c r="I30" s="41"/>
      <c r="J30" s="165"/>
      <c r="K30" s="42">
        <f t="shared" si="1"/>
        <v>273234</v>
      </c>
      <c r="L30" s="41"/>
      <c r="M30" s="41">
        <v>3</v>
      </c>
      <c r="N30" s="41"/>
    </row>
    <row r="31" spans="1:14" ht="12.75">
      <c r="A31" s="39" t="s">
        <v>41</v>
      </c>
      <c r="B31" s="40">
        <v>90</v>
      </c>
      <c r="C31" s="41">
        <v>0</v>
      </c>
      <c r="D31" s="41"/>
      <c r="E31" s="41"/>
      <c r="F31" s="41"/>
      <c r="G31" s="41"/>
      <c r="H31" s="41"/>
      <c r="I31" s="41"/>
      <c r="J31" s="165"/>
      <c r="K31" s="42">
        <f t="shared" si="1"/>
        <v>0</v>
      </c>
      <c r="L31" s="41"/>
      <c r="M31" s="41">
        <v>0</v>
      </c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3041865</v>
      </c>
      <c r="D32" s="45">
        <f aca="true" t="shared" si="2" ref="D32:J32">SUM(D12:D31)</f>
        <v>0</v>
      </c>
      <c r="E32" s="45">
        <f t="shared" si="2"/>
        <v>0</v>
      </c>
      <c r="F32" s="45">
        <f t="shared" si="2"/>
        <v>0</v>
      </c>
      <c r="G32" s="45">
        <f t="shared" si="2"/>
        <v>0</v>
      </c>
      <c r="H32" s="45">
        <f t="shared" si="2"/>
        <v>0</v>
      </c>
      <c r="I32" s="45">
        <f t="shared" si="2"/>
        <v>0</v>
      </c>
      <c r="J32" s="45">
        <f t="shared" si="2"/>
        <v>0</v>
      </c>
      <c r="K32" s="42">
        <f t="shared" si="0"/>
        <v>3041865</v>
      </c>
      <c r="L32" s="45">
        <f>SUM(L12:L31)</f>
        <v>0</v>
      </c>
      <c r="M32" s="45">
        <f>SUM(M12:M31)</f>
        <v>52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3" ref="D39:J39">SUM(D33:D38)</f>
        <v>0</v>
      </c>
      <c r="E39" s="45">
        <f t="shared" si="3"/>
        <v>0</v>
      </c>
      <c r="F39" s="45">
        <f t="shared" si="3"/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585308</v>
      </c>
      <c r="D42" s="41"/>
      <c r="E42" s="41"/>
      <c r="F42" s="41"/>
      <c r="G42" s="41"/>
      <c r="H42" s="41"/>
      <c r="I42" s="41"/>
      <c r="J42" s="41"/>
      <c r="K42" s="42">
        <f t="shared" si="0"/>
        <v>585308</v>
      </c>
      <c r="L42" s="41"/>
      <c r="M42" s="41">
        <v>2</v>
      </c>
      <c r="N42" s="41"/>
    </row>
    <row r="43" spans="1:14" ht="12.75">
      <c r="A43" s="48" t="s">
        <v>60</v>
      </c>
      <c r="B43" s="40">
        <v>114</v>
      </c>
      <c r="C43" s="41">
        <v>1140954</v>
      </c>
      <c r="D43" s="41"/>
      <c r="E43" s="41"/>
      <c r="F43" s="41"/>
      <c r="G43" s="41"/>
      <c r="H43" s="41"/>
      <c r="I43" s="41"/>
      <c r="J43" s="41"/>
      <c r="K43" s="42">
        <f t="shared" si="0"/>
        <v>1140954</v>
      </c>
      <c r="L43" s="41"/>
      <c r="M43" s="41">
        <v>5</v>
      </c>
      <c r="N43" s="41"/>
    </row>
    <row r="44" spans="1:14" ht="12.75">
      <c r="A44" s="48" t="s">
        <v>61</v>
      </c>
      <c r="B44" s="40">
        <v>115</v>
      </c>
      <c r="C44" s="41">
        <v>1375973</v>
      </c>
      <c r="D44" s="41"/>
      <c r="E44" s="41"/>
      <c r="F44" s="41"/>
      <c r="G44" s="41"/>
      <c r="H44" s="41"/>
      <c r="I44" s="41"/>
      <c r="J44" s="41"/>
      <c r="K44" s="42">
        <f t="shared" si="0"/>
        <v>1375973</v>
      </c>
      <c r="L44" s="41"/>
      <c r="M44" s="41">
        <v>8</v>
      </c>
      <c r="N44" s="41"/>
    </row>
    <row r="45" spans="1:14" ht="12.75">
      <c r="A45" s="48" t="s">
        <v>62</v>
      </c>
      <c r="B45" s="40">
        <v>119</v>
      </c>
      <c r="C45" s="41">
        <v>6165814</v>
      </c>
      <c r="D45" s="41"/>
      <c r="E45" s="41"/>
      <c r="F45" s="41"/>
      <c r="G45" s="41"/>
      <c r="H45" s="41"/>
      <c r="I45" s="41"/>
      <c r="J45" s="41"/>
      <c r="K45" s="42">
        <f t="shared" si="0"/>
        <v>6165814</v>
      </c>
      <c r="L45" s="41"/>
      <c r="M45" s="41">
        <v>44</v>
      </c>
      <c r="N45" s="41"/>
    </row>
    <row r="46" spans="1:14" ht="12.75">
      <c r="A46" s="48" t="s">
        <v>63</v>
      </c>
      <c r="B46" s="40">
        <v>120</v>
      </c>
      <c r="C46" s="41">
        <v>19811232</v>
      </c>
      <c r="D46" s="41"/>
      <c r="E46" s="41"/>
      <c r="F46" s="41"/>
      <c r="G46" s="41"/>
      <c r="H46" s="41"/>
      <c r="I46" s="41"/>
      <c r="J46" s="41"/>
      <c r="K46" s="42">
        <f t="shared" si="0"/>
        <v>19811232</v>
      </c>
      <c r="L46" s="41"/>
      <c r="M46" s="41">
        <v>297</v>
      </c>
      <c r="N46" s="41"/>
    </row>
    <row r="47" spans="1:14" ht="12.75">
      <c r="A47" s="44" t="s">
        <v>74</v>
      </c>
      <c r="B47" s="45">
        <v>121</v>
      </c>
      <c r="C47" s="45">
        <f>SUM(C40:C46)</f>
        <v>29079281</v>
      </c>
      <c r="D47" s="45">
        <f aca="true" t="shared" si="4" ref="D47:J47">SUM(D40:D46)</f>
        <v>0</v>
      </c>
      <c r="E47" s="45">
        <f t="shared" si="4"/>
        <v>0</v>
      </c>
      <c r="F47" s="45">
        <f t="shared" si="4"/>
        <v>0</v>
      </c>
      <c r="G47" s="45">
        <f t="shared" si="4"/>
        <v>0</v>
      </c>
      <c r="H47" s="45">
        <f t="shared" si="4"/>
        <v>0</v>
      </c>
      <c r="I47" s="45">
        <f t="shared" si="4"/>
        <v>0</v>
      </c>
      <c r="J47" s="45">
        <f t="shared" si="4"/>
        <v>0</v>
      </c>
      <c r="K47" s="42">
        <f t="shared" si="0"/>
        <v>29079281</v>
      </c>
      <c r="L47" s="45">
        <f>SUM(L40:L46)</f>
        <v>0</v>
      </c>
      <c r="M47" s="45">
        <f>SUM(M40:M46)</f>
        <v>356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32121146</v>
      </c>
      <c r="D48" s="45">
        <f aca="true" t="shared" si="5" ref="D48:J48">D32+D39+D47</f>
        <v>0</v>
      </c>
      <c r="E48" s="45">
        <f t="shared" si="5"/>
        <v>0</v>
      </c>
      <c r="F48" s="45">
        <f t="shared" si="5"/>
        <v>0</v>
      </c>
      <c r="G48" s="45">
        <f t="shared" si="5"/>
        <v>0</v>
      </c>
      <c r="H48" s="45">
        <f t="shared" si="5"/>
        <v>0</v>
      </c>
      <c r="I48" s="45">
        <f t="shared" si="5"/>
        <v>0</v>
      </c>
      <c r="J48" s="45">
        <f t="shared" si="5"/>
        <v>0</v>
      </c>
      <c r="K48" s="42">
        <f t="shared" si="0"/>
        <v>32121146</v>
      </c>
      <c r="L48" s="45">
        <f>L32+L39+L47</f>
        <v>0</v>
      </c>
      <c r="M48" s="45">
        <f>M32+M39+M47</f>
        <v>408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>
        <v>132162</v>
      </c>
      <c r="D49" s="49"/>
      <c r="E49" s="49"/>
      <c r="F49" s="49"/>
      <c r="G49" s="49"/>
      <c r="H49" s="49"/>
      <c r="I49" s="49"/>
      <c r="J49" s="49"/>
      <c r="K49" s="42">
        <f t="shared" si="0"/>
        <v>132162</v>
      </c>
      <c r="L49" s="49"/>
      <c r="M49" s="49">
        <v>4</v>
      </c>
      <c r="N49" s="49"/>
    </row>
    <row r="50" spans="1:14" ht="12.75">
      <c r="A50" s="44" t="s">
        <v>75</v>
      </c>
      <c r="B50" s="45">
        <v>159</v>
      </c>
      <c r="C50" s="45">
        <f>C48+C49</f>
        <v>32253308</v>
      </c>
      <c r="D50" s="45">
        <f aca="true" t="shared" si="6" ref="D50:J50">D48+D49</f>
        <v>0</v>
      </c>
      <c r="E50" s="45">
        <f t="shared" si="6"/>
        <v>0</v>
      </c>
      <c r="F50" s="45">
        <f t="shared" si="6"/>
        <v>0</v>
      </c>
      <c r="G50" s="45">
        <f t="shared" si="6"/>
        <v>0</v>
      </c>
      <c r="H50" s="45">
        <f t="shared" si="6"/>
        <v>0</v>
      </c>
      <c r="I50" s="45">
        <f t="shared" si="6"/>
        <v>0</v>
      </c>
      <c r="J50" s="45">
        <f t="shared" si="6"/>
        <v>0</v>
      </c>
      <c r="K50" s="42">
        <f t="shared" si="0"/>
        <v>32253308</v>
      </c>
      <c r="L50" s="45">
        <f>L48+L49</f>
        <v>0</v>
      </c>
      <c r="M50" s="45">
        <f>M48+M49</f>
        <v>412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209</v>
      </c>
      <c r="C60" s="174"/>
      <c r="D60" s="174"/>
      <c r="E60" s="62"/>
    </row>
    <row r="61" spans="10:11" ht="12.75">
      <c r="J61" s="173" t="s">
        <v>216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5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164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208016</v>
      </c>
      <c r="D23" s="41"/>
      <c r="E23" s="41">
        <v>21545</v>
      </c>
      <c r="F23" s="41"/>
      <c r="G23" s="41"/>
      <c r="H23" s="41"/>
      <c r="I23" s="41"/>
      <c r="J23" s="42">
        <f t="shared" si="0"/>
        <v>229561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105019</v>
      </c>
      <c r="D24" s="41"/>
      <c r="E24" s="41">
        <v>10864</v>
      </c>
      <c r="F24" s="41"/>
      <c r="G24" s="41"/>
      <c r="H24" s="41"/>
      <c r="I24" s="41"/>
      <c r="J24" s="42">
        <f t="shared" si="0"/>
        <v>115883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296935</v>
      </c>
      <c r="D25" s="41"/>
      <c r="E25" s="41">
        <v>30719</v>
      </c>
      <c r="F25" s="41"/>
      <c r="G25" s="41"/>
      <c r="H25" s="41"/>
      <c r="I25" s="41"/>
      <c r="J25" s="42">
        <f t="shared" si="0"/>
        <v>327654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30044</v>
      </c>
      <c r="D26" s="41"/>
      <c r="E26" s="41">
        <v>3108</v>
      </c>
      <c r="F26" s="41"/>
      <c r="G26" s="41"/>
      <c r="H26" s="41"/>
      <c r="I26" s="41"/>
      <c r="J26" s="42">
        <f t="shared" si="0"/>
        <v>33152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140112</v>
      </c>
      <c r="D28" s="41"/>
      <c r="E28" s="41">
        <v>14495</v>
      </c>
      <c r="F28" s="41"/>
      <c r="G28" s="41"/>
      <c r="H28" s="41"/>
      <c r="I28" s="41"/>
      <c r="J28" s="42">
        <f t="shared" si="0"/>
        <v>154607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90192</v>
      </c>
      <c r="D30" s="41"/>
      <c r="E30" s="41">
        <v>9237</v>
      </c>
      <c r="F30" s="41"/>
      <c r="G30" s="41"/>
      <c r="H30" s="41"/>
      <c r="I30" s="41"/>
      <c r="J30" s="42">
        <f t="shared" si="0"/>
        <v>99429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870318</v>
      </c>
      <c r="D32" s="45">
        <f>SUM(D12:D31)</f>
        <v>0</v>
      </c>
      <c r="E32" s="45">
        <f t="shared" si="1"/>
        <v>89968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960286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168733</v>
      </c>
      <c r="D42" s="41"/>
      <c r="E42" s="41">
        <v>17560</v>
      </c>
      <c r="F42" s="41"/>
      <c r="G42" s="41">
        <v>1006</v>
      </c>
      <c r="H42" s="41"/>
      <c r="I42" s="41"/>
      <c r="J42" s="42">
        <f t="shared" si="0"/>
        <v>187299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328359</v>
      </c>
      <c r="D43" s="41"/>
      <c r="E43" s="41">
        <v>34229</v>
      </c>
      <c r="F43" s="41"/>
      <c r="G43" s="41">
        <v>2515</v>
      </c>
      <c r="H43" s="41"/>
      <c r="I43" s="41"/>
      <c r="J43" s="42">
        <f t="shared" si="0"/>
        <v>365103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594525</v>
      </c>
      <c r="D44" s="41"/>
      <c r="E44" s="41">
        <v>61966</v>
      </c>
      <c r="F44" s="41"/>
      <c r="G44" s="41">
        <v>4527</v>
      </c>
      <c r="H44" s="41"/>
      <c r="I44" s="41"/>
      <c r="J44" s="42">
        <f t="shared" si="0"/>
        <v>661018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1526263</v>
      </c>
      <c r="D45" s="41"/>
      <c r="E45" s="41">
        <v>156703</v>
      </c>
      <c r="F45" s="41"/>
      <c r="G45" s="41">
        <v>21629</v>
      </c>
      <c r="H45" s="41"/>
      <c r="I45" s="41"/>
      <c r="J45" s="42">
        <f t="shared" si="0"/>
        <v>1704595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5690216</v>
      </c>
      <c r="D46" s="41"/>
      <c r="E46" s="41">
        <v>606417</v>
      </c>
      <c r="F46" s="41"/>
      <c r="G46" s="41">
        <v>154391</v>
      </c>
      <c r="H46" s="41"/>
      <c r="I46" s="41"/>
      <c r="J46" s="42">
        <f t="shared" si="0"/>
        <v>6451024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8308096</v>
      </c>
      <c r="D47" s="45">
        <f>SUM(D40:D46)</f>
        <v>0</v>
      </c>
      <c r="E47" s="45">
        <f t="shared" si="3"/>
        <v>876875</v>
      </c>
      <c r="F47" s="45">
        <f t="shared" si="3"/>
        <v>0</v>
      </c>
      <c r="G47" s="45">
        <f t="shared" si="3"/>
        <v>184068</v>
      </c>
      <c r="H47" s="45">
        <f t="shared" si="3"/>
        <v>0</v>
      </c>
      <c r="I47" s="45">
        <f t="shared" si="3"/>
        <v>0</v>
      </c>
      <c r="J47" s="42">
        <f t="shared" si="0"/>
        <v>9369039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9178414</v>
      </c>
      <c r="D48" s="45">
        <f>D32+D39+D47</f>
        <v>0</v>
      </c>
      <c r="E48" s="45">
        <f t="shared" si="4"/>
        <v>966843</v>
      </c>
      <c r="F48" s="45">
        <f t="shared" si="4"/>
        <v>0</v>
      </c>
      <c r="G48" s="45">
        <f t="shared" si="4"/>
        <v>184068</v>
      </c>
      <c r="H48" s="45">
        <f t="shared" si="4"/>
        <v>0</v>
      </c>
      <c r="I48" s="45">
        <f t="shared" si="4"/>
        <v>0</v>
      </c>
      <c r="J48" s="42">
        <f t="shared" si="0"/>
        <v>10329325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14296</v>
      </c>
      <c r="D49" s="49"/>
      <c r="E49" s="49">
        <v>1480</v>
      </c>
      <c r="F49" s="49"/>
      <c r="G49" s="49"/>
      <c r="H49" s="49"/>
      <c r="I49" s="49"/>
      <c r="J49" s="42">
        <f t="shared" si="0"/>
        <v>15776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9192710</v>
      </c>
      <c r="D50" s="45">
        <f>D48+D49</f>
        <v>0</v>
      </c>
      <c r="E50" s="45">
        <f t="shared" si="5"/>
        <v>968323</v>
      </c>
      <c r="F50" s="45">
        <f t="shared" si="5"/>
        <v>0</v>
      </c>
      <c r="G50" s="45">
        <f t="shared" si="5"/>
        <v>184068</v>
      </c>
      <c r="H50" s="45">
        <f t="shared" si="5"/>
        <v>0</v>
      </c>
      <c r="I50" s="45">
        <f t="shared" si="5"/>
        <v>0</v>
      </c>
      <c r="J50" s="42">
        <f t="shared" si="0"/>
        <v>10345101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215</v>
      </c>
      <c r="C60" s="174"/>
      <c r="D60" s="174"/>
      <c r="E60" s="174"/>
      <c r="F60" s="62"/>
    </row>
    <row r="61" spans="8:9" ht="12.75">
      <c r="H61" s="173" t="s">
        <v>216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1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88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/>
      <c r="I22" s="41"/>
      <c r="J22" s="41">
        <f>0</f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1539100</v>
      </c>
      <c r="D23" s="41">
        <v>230197</v>
      </c>
      <c r="E23" s="41">
        <v>0</v>
      </c>
      <c r="F23" s="41">
        <v>0</v>
      </c>
      <c r="G23" s="41">
        <v>194230</v>
      </c>
      <c r="H23" s="41"/>
      <c r="I23" s="41"/>
      <c r="J23" s="41">
        <f>128758</f>
        <v>128758</v>
      </c>
      <c r="K23" s="42">
        <f t="shared" si="0"/>
        <v>2092285</v>
      </c>
      <c r="L23" s="41">
        <v>44117</v>
      </c>
      <c r="M23" s="41">
        <f>17</f>
        <v>17</v>
      </c>
      <c r="N23" s="41">
        <v>15</v>
      </c>
    </row>
    <row r="24" spans="1:14" ht="12.75">
      <c r="A24" s="39" t="s">
        <v>32</v>
      </c>
      <c r="B24" s="40">
        <v>83</v>
      </c>
      <c r="C24" s="41">
        <v>800800</v>
      </c>
      <c r="D24" s="41">
        <v>91536</v>
      </c>
      <c r="E24" s="41">
        <v>0</v>
      </c>
      <c r="F24" s="41">
        <v>0</v>
      </c>
      <c r="G24" s="41">
        <v>44982</v>
      </c>
      <c r="H24" s="41"/>
      <c r="I24" s="41"/>
      <c r="J24" s="41">
        <f>74363</f>
        <v>74363</v>
      </c>
      <c r="K24" s="42">
        <f t="shared" si="0"/>
        <v>1011681</v>
      </c>
      <c r="L24" s="41">
        <v>7042</v>
      </c>
      <c r="M24" s="41">
        <f>8</f>
        <v>8</v>
      </c>
      <c r="N24" s="41">
        <v>9</v>
      </c>
    </row>
    <row r="25" spans="1:14" ht="12.75">
      <c r="A25" s="39" t="s">
        <v>33</v>
      </c>
      <c r="B25" s="40">
        <v>84</v>
      </c>
      <c r="C25" s="41">
        <v>1946687</v>
      </c>
      <c r="D25" s="41">
        <v>299080</v>
      </c>
      <c r="E25" s="41">
        <v>0</v>
      </c>
      <c r="F25" s="41">
        <v>4348</v>
      </c>
      <c r="G25" s="41">
        <v>1012</v>
      </c>
      <c r="H25" s="41"/>
      <c r="I25" s="41"/>
      <c r="J25" s="41">
        <f>157772</f>
        <v>157772</v>
      </c>
      <c r="K25" s="42">
        <f t="shared" si="0"/>
        <v>2408899</v>
      </c>
      <c r="L25" s="41">
        <v>34661</v>
      </c>
      <c r="M25" s="41">
        <f>23</f>
        <v>23</v>
      </c>
      <c r="N25" s="41">
        <v>24</v>
      </c>
    </row>
    <row r="26" spans="1:14" ht="12.75">
      <c r="A26" s="39" t="s">
        <v>34</v>
      </c>
      <c r="B26" s="40">
        <v>85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/>
      <c r="I26" s="41"/>
      <c r="J26" s="41">
        <v>0</v>
      </c>
      <c r="K26" s="42">
        <f t="shared" si="0"/>
        <v>0</v>
      </c>
      <c r="L26" s="41">
        <v>0</v>
      </c>
      <c r="M26" s="41">
        <v>0</v>
      </c>
      <c r="N26" s="41">
        <v>1</v>
      </c>
    </row>
    <row r="27" spans="1:14" ht="12.75">
      <c r="A27" s="39" t="s">
        <v>35</v>
      </c>
      <c r="B27" s="40">
        <v>86</v>
      </c>
      <c r="C27" s="41">
        <v>196100</v>
      </c>
      <c r="D27" s="41">
        <v>21500</v>
      </c>
      <c r="E27" s="41">
        <v>0</v>
      </c>
      <c r="F27" s="41">
        <v>0</v>
      </c>
      <c r="G27" s="41">
        <v>0</v>
      </c>
      <c r="H27" s="41"/>
      <c r="I27" s="41"/>
      <c r="J27" s="41">
        <f>18133</f>
        <v>18133</v>
      </c>
      <c r="K27" s="42">
        <f t="shared" si="0"/>
        <v>235733</v>
      </c>
      <c r="L27" s="41">
        <v>0</v>
      </c>
      <c r="M27" s="41">
        <f>1</f>
        <v>1</v>
      </c>
      <c r="N27" s="41">
        <v>2</v>
      </c>
    </row>
    <row r="28" spans="1:14" ht="12.75">
      <c r="A28" s="39" t="s">
        <v>36</v>
      </c>
      <c r="B28" s="40">
        <v>87</v>
      </c>
      <c r="C28" s="41">
        <v>688000</v>
      </c>
      <c r="D28" s="41">
        <v>78150</v>
      </c>
      <c r="E28" s="41">
        <v>0</v>
      </c>
      <c r="F28" s="41">
        <v>0</v>
      </c>
      <c r="G28" s="41">
        <v>48576</v>
      </c>
      <c r="H28" s="41"/>
      <c r="I28" s="41"/>
      <c r="J28" s="41">
        <f>63846</f>
        <v>63846</v>
      </c>
      <c r="K28" s="42">
        <f t="shared" si="0"/>
        <v>878572</v>
      </c>
      <c r="L28" s="41">
        <v>0</v>
      </c>
      <c r="M28" s="41">
        <f>5</f>
        <v>5</v>
      </c>
      <c r="N28" s="41">
        <v>3</v>
      </c>
    </row>
    <row r="29" spans="1:14" ht="12.75">
      <c r="A29" s="39" t="s">
        <v>37</v>
      </c>
      <c r="B29" s="40">
        <v>88</v>
      </c>
      <c r="C29" s="41">
        <v>759600</v>
      </c>
      <c r="D29" s="41">
        <v>120150</v>
      </c>
      <c r="E29" s="41">
        <v>0</v>
      </c>
      <c r="F29" s="41">
        <v>30000</v>
      </c>
      <c r="G29" s="41">
        <v>59200</v>
      </c>
      <c r="H29" s="41"/>
      <c r="I29" s="41"/>
      <c r="J29" s="41">
        <f>73313</f>
        <v>73313</v>
      </c>
      <c r="K29" s="42">
        <f t="shared" si="0"/>
        <v>1042263</v>
      </c>
      <c r="L29" s="41">
        <v>0</v>
      </c>
      <c r="M29" s="41">
        <f>4</f>
        <v>4</v>
      </c>
      <c r="N29" s="41">
        <v>5</v>
      </c>
    </row>
    <row r="30" spans="1:14" ht="12.75">
      <c r="A30" s="39" t="s">
        <v>40</v>
      </c>
      <c r="B30" s="40">
        <v>89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/>
      <c r="I30" s="41"/>
      <c r="J30" s="41">
        <f>0</f>
        <v>0</v>
      </c>
      <c r="K30" s="42">
        <f t="shared" si="0"/>
        <v>0</v>
      </c>
      <c r="L30" s="41">
        <v>0</v>
      </c>
      <c r="M30" s="41">
        <f>0</f>
        <v>0</v>
      </c>
      <c r="N30" s="41">
        <v>1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5930287</v>
      </c>
      <c r="D32" s="45">
        <f aca="true" t="shared" si="1" ref="D32:J32">SUM(D12:D31)</f>
        <v>840613</v>
      </c>
      <c r="E32" s="45">
        <f t="shared" si="1"/>
        <v>0</v>
      </c>
      <c r="F32" s="45">
        <f t="shared" si="1"/>
        <v>34348</v>
      </c>
      <c r="G32" s="45">
        <f t="shared" si="1"/>
        <v>348000</v>
      </c>
      <c r="H32" s="45">
        <f t="shared" si="1"/>
        <v>0</v>
      </c>
      <c r="I32" s="45">
        <f t="shared" si="1"/>
        <v>0</v>
      </c>
      <c r="J32" s="45">
        <f t="shared" si="1"/>
        <v>516185</v>
      </c>
      <c r="K32" s="42">
        <f t="shared" si="0"/>
        <v>7669433</v>
      </c>
      <c r="L32" s="45">
        <f>SUM(L12:L31)</f>
        <v>85820</v>
      </c>
      <c r="M32" s="45">
        <f>SUM(M12:M31)</f>
        <v>58</v>
      </c>
      <c r="N32" s="45">
        <f>SUM(N12:N31)</f>
        <v>60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0</v>
      </c>
      <c r="I42" s="41"/>
      <c r="J42" s="41">
        <f>90086</f>
        <v>90086</v>
      </c>
      <c r="K42" s="42">
        <f t="shared" si="0"/>
        <v>1171127</v>
      </c>
      <c r="L42" s="41">
        <v>0</v>
      </c>
      <c r="M42" s="41">
        <f>2</f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14352</v>
      </c>
      <c r="I43" s="41"/>
      <c r="J43" s="41">
        <f>201319</f>
        <v>201319</v>
      </c>
      <c r="K43" s="42">
        <f t="shared" si="0"/>
        <v>2631495</v>
      </c>
      <c r="L43" s="41">
        <v>0</v>
      </c>
      <c r="M43" s="41">
        <f>5</f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2434950</v>
      </c>
      <c r="D44" s="41">
        <v>234996</v>
      </c>
      <c r="E44" s="41">
        <v>730485</v>
      </c>
      <c r="F44" s="41">
        <v>32854</v>
      </c>
      <c r="G44" s="41">
        <v>276541</v>
      </c>
      <c r="H44" s="41">
        <v>0</v>
      </c>
      <c r="I44" s="41"/>
      <c r="J44" s="41">
        <f>309153</f>
        <v>309153</v>
      </c>
      <c r="K44" s="42">
        <f t="shared" si="0"/>
        <v>4018979</v>
      </c>
      <c r="L44" s="41">
        <v>56125</v>
      </c>
      <c r="M44" s="41">
        <f>9</f>
        <v>9</v>
      </c>
      <c r="N44" s="41">
        <v>9</v>
      </c>
    </row>
    <row r="45" spans="1:14" ht="12.75">
      <c r="A45" s="48" t="s">
        <v>62</v>
      </c>
      <c r="B45" s="40">
        <v>119</v>
      </c>
      <c r="C45" s="41">
        <v>9009317</v>
      </c>
      <c r="D45" s="41">
        <v>1049754</v>
      </c>
      <c r="E45" s="41">
        <v>2702809</v>
      </c>
      <c r="F45" s="41">
        <v>326595</v>
      </c>
      <c r="G45" s="41">
        <v>303539</v>
      </c>
      <c r="H45" s="41">
        <v>0</v>
      </c>
      <c r="I45" s="41"/>
      <c r="J45" s="41">
        <f>1053285</f>
        <v>1053285</v>
      </c>
      <c r="K45" s="42">
        <f t="shared" si="0"/>
        <v>14445299</v>
      </c>
      <c r="L45" s="41">
        <v>481724</v>
      </c>
      <c r="M45" s="41">
        <f>46</f>
        <v>46</v>
      </c>
      <c r="N45" s="41">
        <v>43</v>
      </c>
    </row>
    <row r="46" spans="1:14" ht="12.75">
      <c r="A46" s="48" t="s">
        <v>63</v>
      </c>
      <c r="B46" s="40">
        <v>120</v>
      </c>
      <c r="C46" s="41">
        <v>33388507</v>
      </c>
      <c r="D46" s="41">
        <v>4670280</v>
      </c>
      <c r="E46" s="41">
        <v>5154995</v>
      </c>
      <c r="F46" s="41">
        <v>227364</v>
      </c>
      <c r="G46" s="41">
        <v>6089318</v>
      </c>
      <c r="H46" s="41">
        <v>117814</v>
      </c>
      <c r="I46" s="41"/>
      <c r="J46" s="41">
        <f>3933094</f>
        <v>3933094</v>
      </c>
      <c r="K46" s="42">
        <f t="shared" si="0"/>
        <v>53581372</v>
      </c>
      <c r="L46" s="41">
        <v>2267534</v>
      </c>
      <c r="M46" s="41">
        <f>311</f>
        <v>311</v>
      </c>
      <c r="N46" s="41">
        <v>308</v>
      </c>
    </row>
    <row r="47" spans="1:14" ht="12.75">
      <c r="A47" s="44" t="s">
        <v>74</v>
      </c>
      <c r="B47" s="45">
        <v>121</v>
      </c>
      <c r="C47" s="45">
        <f>SUM(C40:C46)</f>
        <v>46900549</v>
      </c>
      <c r="D47" s="45">
        <f aca="true" t="shared" si="3" ref="D47:J47">SUM(D40:D46)</f>
        <v>6156786</v>
      </c>
      <c r="E47" s="45">
        <f t="shared" si="3"/>
        <v>9208624</v>
      </c>
      <c r="F47" s="45">
        <f t="shared" si="3"/>
        <v>700831</v>
      </c>
      <c r="G47" s="45">
        <f t="shared" si="3"/>
        <v>7162379</v>
      </c>
      <c r="H47" s="45">
        <f t="shared" si="3"/>
        <v>132166</v>
      </c>
      <c r="I47" s="45">
        <f t="shared" si="3"/>
        <v>0</v>
      </c>
      <c r="J47" s="45">
        <f t="shared" si="3"/>
        <v>5586937</v>
      </c>
      <c r="K47" s="42">
        <f t="shared" si="0"/>
        <v>75848272</v>
      </c>
      <c r="L47" s="45">
        <f>SUM(L40:L46)</f>
        <v>2805383</v>
      </c>
      <c r="M47" s="45">
        <f>SUM(M40:M46)</f>
        <v>373</v>
      </c>
      <c r="N47" s="45">
        <f>SUM(N40:N46)</f>
        <v>367</v>
      </c>
    </row>
    <row r="48" spans="1:14" ht="12.75">
      <c r="A48" s="44" t="s">
        <v>119</v>
      </c>
      <c r="B48" s="45">
        <v>152</v>
      </c>
      <c r="C48" s="45">
        <f>C32+C39+C47</f>
        <v>52830836</v>
      </c>
      <c r="D48" s="45">
        <f aca="true" t="shared" si="4" ref="D48:J48">D32+D39+D47</f>
        <v>6997399</v>
      </c>
      <c r="E48" s="45">
        <f t="shared" si="4"/>
        <v>9208624</v>
      </c>
      <c r="F48" s="45">
        <f t="shared" si="4"/>
        <v>735179</v>
      </c>
      <c r="G48" s="45">
        <f t="shared" si="4"/>
        <v>7510379</v>
      </c>
      <c r="H48" s="45">
        <f t="shared" si="4"/>
        <v>132166</v>
      </c>
      <c r="I48" s="45">
        <f t="shared" si="4"/>
        <v>0</v>
      </c>
      <c r="J48" s="45">
        <f t="shared" si="4"/>
        <v>6103122</v>
      </c>
      <c r="K48" s="42">
        <f t="shared" si="0"/>
        <v>83517705</v>
      </c>
      <c r="L48" s="45">
        <f>L32+L39+L47</f>
        <v>2891203</v>
      </c>
      <c r="M48" s="45">
        <f>M32+M39+M47</f>
        <v>431</v>
      </c>
      <c r="N48" s="45">
        <f>N32+N39+N47</f>
        <v>427</v>
      </c>
    </row>
    <row r="49" spans="1:14" ht="12.75">
      <c r="A49" s="44" t="s">
        <v>51</v>
      </c>
      <c r="B49" s="45">
        <v>158</v>
      </c>
      <c r="C49" s="49">
        <v>406600</v>
      </c>
      <c r="D49" s="49">
        <v>99789</v>
      </c>
      <c r="E49" s="49">
        <v>0</v>
      </c>
      <c r="F49" s="49">
        <v>15000</v>
      </c>
      <c r="G49" s="49">
        <v>0</v>
      </c>
      <c r="H49" s="49">
        <v>0</v>
      </c>
      <c r="I49" s="49"/>
      <c r="J49" s="49">
        <f>42200</f>
        <v>42200</v>
      </c>
      <c r="K49" s="42">
        <f t="shared" si="0"/>
        <v>563589</v>
      </c>
      <c r="L49" s="49">
        <v>0</v>
      </c>
      <c r="M49" s="49">
        <f>5</f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53237436</v>
      </c>
      <c r="D50" s="45">
        <f aca="true" t="shared" si="5" ref="D50:J50">D48+D49</f>
        <v>7097188</v>
      </c>
      <c r="E50" s="45">
        <f t="shared" si="5"/>
        <v>9208624</v>
      </c>
      <c r="F50" s="45">
        <f t="shared" si="5"/>
        <v>750179</v>
      </c>
      <c r="G50" s="45">
        <f t="shared" si="5"/>
        <v>7510379</v>
      </c>
      <c r="H50" s="45">
        <f t="shared" si="5"/>
        <v>132166</v>
      </c>
      <c r="I50" s="45">
        <f t="shared" si="5"/>
        <v>0</v>
      </c>
      <c r="J50" s="45">
        <f t="shared" si="5"/>
        <v>6145322</v>
      </c>
      <c r="K50" s="42">
        <f t="shared" si="0"/>
        <v>84081294</v>
      </c>
      <c r="L50" s="45">
        <f>L48+L49</f>
        <v>2891203</v>
      </c>
      <c r="M50" s="45">
        <f>M48+M49</f>
        <v>436</v>
      </c>
      <c r="N50" s="45">
        <f>N48+N49</f>
        <v>429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8" t="s">
        <v>62</v>
      </c>
      <c r="B55" s="40">
        <v>119</v>
      </c>
      <c r="C55" s="59"/>
      <c r="D55" s="59"/>
      <c r="E55" s="59"/>
      <c r="F55" s="59"/>
      <c r="G55" s="59"/>
      <c r="H55" s="59"/>
      <c r="I55" s="59"/>
      <c r="J55" s="59">
        <f>-26826</f>
        <v>-26826</v>
      </c>
      <c r="K55" s="42">
        <f>SUM(C55:J55)</f>
        <v>-26826</v>
      </c>
      <c r="L55" s="59"/>
      <c r="M55" s="60">
        <v>2</v>
      </c>
      <c r="N55" s="117"/>
      <c r="O55" s="43"/>
    </row>
    <row r="56" spans="1:15" ht="12.75">
      <c r="A56" s="58" t="s">
        <v>63</v>
      </c>
      <c r="B56" s="40">
        <v>120</v>
      </c>
      <c r="C56" s="59">
        <v>220137</v>
      </c>
      <c r="D56" s="59">
        <v>30836</v>
      </c>
      <c r="E56" s="59">
        <v>33021</v>
      </c>
      <c r="F56" s="59">
        <v>0</v>
      </c>
      <c r="G56" s="59">
        <v>38867</v>
      </c>
      <c r="H56" s="59">
        <v>0</v>
      </c>
      <c r="I56" s="59"/>
      <c r="J56" s="59">
        <f>143142</f>
        <v>143142</v>
      </c>
      <c r="K56" s="42">
        <f>SUM(C56:J56)</f>
        <v>466003</v>
      </c>
      <c r="L56" s="59">
        <v>62616</v>
      </c>
      <c r="M56" s="60">
        <v>14</v>
      </c>
      <c r="N56" s="117"/>
      <c r="O56" s="43"/>
    </row>
    <row r="57" spans="1:15" ht="12.75">
      <c r="A57" s="111"/>
      <c r="B57" s="114"/>
      <c r="C57" s="112"/>
      <c r="D57" s="112"/>
      <c r="E57" s="112"/>
      <c r="F57" s="112"/>
      <c r="G57" s="112"/>
      <c r="H57" s="112"/>
      <c r="I57" s="112"/>
      <c r="J57" s="112"/>
      <c r="K57" s="160"/>
      <c r="L57" s="112"/>
      <c r="M57" s="112"/>
      <c r="N57" s="114"/>
      <c r="O57" s="43"/>
    </row>
    <row r="58" ht="12.75">
      <c r="K58" s="161"/>
    </row>
    <row r="59" spans="1:5" ht="12.75">
      <c r="A59" s="61" t="s">
        <v>21</v>
      </c>
      <c r="B59" s="174" t="s">
        <v>209</v>
      </c>
      <c r="C59" s="174"/>
      <c r="D59" s="174"/>
      <c r="E59" s="62"/>
    </row>
    <row r="60" spans="10:11" ht="12.75">
      <c r="J60" s="173" t="s">
        <v>216</v>
      </c>
      <c r="K60" s="173"/>
    </row>
    <row r="61" spans="10:11" ht="12.75">
      <c r="J61" s="172" t="s">
        <v>48</v>
      </c>
      <c r="K61" s="172"/>
    </row>
  </sheetData>
  <sheetProtection/>
  <mergeCells count="14">
    <mergeCell ref="N7:N8"/>
    <mergeCell ref="C7:D7"/>
    <mergeCell ref="M9:N10"/>
    <mergeCell ref="A53:A54"/>
    <mergeCell ref="A52:M52"/>
    <mergeCell ref="J61:K61"/>
    <mergeCell ref="F5:M5"/>
    <mergeCell ref="A5:D5"/>
    <mergeCell ref="C10:D10"/>
    <mergeCell ref="M7:M8"/>
    <mergeCell ref="K3:L3"/>
    <mergeCell ref="K2:L2"/>
    <mergeCell ref="B59:D59"/>
    <mergeCell ref="J60:K60"/>
  </mergeCells>
  <dataValidations count="1"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1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8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218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165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665903</v>
      </c>
      <c r="D23" s="41"/>
      <c r="E23" s="41">
        <v>68888</v>
      </c>
      <c r="F23" s="41">
        <v>28665</v>
      </c>
      <c r="G23" s="41"/>
      <c r="H23" s="41"/>
      <c r="I23" s="41"/>
      <c r="J23" s="42">
        <f t="shared" si="0"/>
        <v>763456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328962</v>
      </c>
      <c r="D24" s="41"/>
      <c r="E24" s="41">
        <v>33669</v>
      </c>
      <c r="F24" s="41">
        <v>15470</v>
      </c>
      <c r="G24" s="41"/>
      <c r="H24" s="41"/>
      <c r="I24" s="41"/>
      <c r="J24" s="42">
        <f t="shared" si="0"/>
        <v>378101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905503</v>
      </c>
      <c r="D25" s="41"/>
      <c r="E25" s="41">
        <v>92223</v>
      </c>
      <c r="F25" s="41">
        <v>40040</v>
      </c>
      <c r="G25" s="41"/>
      <c r="H25" s="41"/>
      <c r="I25" s="41"/>
      <c r="J25" s="42">
        <f t="shared" si="0"/>
        <v>1037766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194944</v>
      </c>
      <c r="D27" s="41"/>
      <c r="E27" s="41">
        <v>20166</v>
      </c>
      <c r="F27" s="41">
        <v>5850</v>
      </c>
      <c r="G27" s="41"/>
      <c r="H27" s="41"/>
      <c r="I27" s="41"/>
      <c r="J27" s="42">
        <f t="shared" si="0"/>
        <v>220960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188359</v>
      </c>
      <c r="D28" s="41"/>
      <c r="E28" s="41">
        <v>19306</v>
      </c>
      <c r="F28" s="41">
        <v>3900</v>
      </c>
      <c r="G28" s="41"/>
      <c r="H28" s="41"/>
      <c r="I28" s="41"/>
      <c r="J28" s="42">
        <f t="shared" si="0"/>
        <v>211565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238301</v>
      </c>
      <c r="D29" s="41"/>
      <c r="E29" s="41">
        <v>24653</v>
      </c>
      <c r="F29" s="41">
        <v>5850</v>
      </c>
      <c r="G29" s="41"/>
      <c r="H29" s="41"/>
      <c r="I29" s="41"/>
      <c r="J29" s="42">
        <f t="shared" si="0"/>
        <v>268804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2521972</v>
      </c>
      <c r="D32" s="45">
        <f>SUM(D12:D31)</f>
        <v>0</v>
      </c>
      <c r="E32" s="45">
        <f t="shared" si="1"/>
        <v>258905</v>
      </c>
      <c r="F32" s="45">
        <f t="shared" si="1"/>
        <v>99775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2880652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364889</v>
      </c>
      <c r="D42" s="41"/>
      <c r="E42" s="41">
        <v>38060</v>
      </c>
      <c r="F42" s="41">
        <v>3900</v>
      </c>
      <c r="G42" s="41">
        <v>3028</v>
      </c>
      <c r="H42" s="41"/>
      <c r="I42" s="41"/>
      <c r="J42" s="42">
        <f t="shared" si="0"/>
        <v>409877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800462</v>
      </c>
      <c r="D43" s="41"/>
      <c r="E43" s="41">
        <v>84695</v>
      </c>
      <c r="F43" s="41">
        <v>9750</v>
      </c>
      <c r="G43" s="41">
        <v>7570</v>
      </c>
      <c r="H43" s="41"/>
      <c r="I43" s="41"/>
      <c r="J43" s="42">
        <f t="shared" si="0"/>
        <v>902477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1652642</v>
      </c>
      <c r="D44" s="41"/>
      <c r="E44" s="41">
        <v>171228</v>
      </c>
      <c r="F44" s="41">
        <v>22035</v>
      </c>
      <c r="G44" s="41">
        <v>16654</v>
      </c>
      <c r="H44" s="41"/>
      <c r="I44" s="41"/>
      <c r="J44" s="42">
        <f t="shared" si="0"/>
        <v>1862559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4183535</v>
      </c>
      <c r="D45" s="41"/>
      <c r="E45" s="41">
        <v>438405</v>
      </c>
      <c r="F45" s="41">
        <v>73320</v>
      </c>
      <c r="G45" s="41">
        <v>62074</v>
      </c>
      <c r="H45" s="41"/>
      <c r="I45" s="41"/>
      <c r="J45" s="42">
        <f t="shared" si="0"/>
        <v>4757334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17272376</v>
      </c>
      <c r="D46" s="41"/>
      <c r="E46" s="41">
        <v>1829035</v>
      </c>
      <c r="F46" s="41">
        <v>563834</v>
      </c>
      <c r="G46" s="41">
        <v>466232</v>
      </c>
      <c r="H46" s="41"/>
      <c r="I46" s="41"/>
      <c r="J46" s="42">
        <f t="shared" si="0"/>
        <v>20131477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24273904</v>
      </c>
      <c r="D47" s="45">
        <f>SUM(D40:D46)</f>
        <v>0</v>
      </c>
      <c r="E47" s="45">
        <f t="shared" si="3"/>
        <v>2561423</v>
      </c>
      <c r="F47" s="45">
        <f t="shared" si="3"/>
        <v>672839</v>
      </c>
      <c r="G47" s="45">
        <f t="shared" si="3"/>
        <v>555558</v>
      </c>
      <c r="H47" s="45">
        <f t="shared" si="3"/>
        <v>0</v>
      </c>
      <c r="I47" s="45">
        <f t="shared" si="3"/>
        <v>0</v>
      </c>
      <c r="J47" s="42">
        <f t="shared" si="0"/>
        <v>28063724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26795876</v>
      </c>
      <c r="D48" s="45">
        <f>D32+D39+D47</f>
        <v>0</v>
      </c>
      <c r="E48" s="45">
        <f t="shared" si="4"/>
        <v>2820328</v>
      </c>
      <c r="F48" s="45">
        <f t="shared" si="4"/>
        <v>772614</v>
      </c>
      <c r="G48" s="45">
        <f t="shared" si="4"/>
        <v>555558</v>
      </c>
      <c r="H48" s="45">
        <f t="shared" si="4"/>
        <v>0</v>
      </c>
      <c r="I48" s="45">
        <f t="shared" si="4"/>
        <v>0</v>
      </c>
      <c r="J48" s="42">
        <f t="shared" si="0"/>
        <v>30944376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163443</v>
      </c>
      <c r="D49" s="49"/>
      <c r="E49" s="49">
        <v>16909</v>
      </c>
      <c r="F49" s="49">
        <v>5606</v>
      </c>
      <c r="G49" s="49"/>
      <c r="H49" s="49"/>
      <c r="I49" s="49"/>
      <c r="J49" s="42">
        <f t="shared" si="0"/>
        <v>185958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26959319</v>
      </c>
      <c r="D50" s="45">
        <f>D48+D49</f>
        <v>0</v>
      </c>
      <c r="E50" s="45">
        <f t="shared" si="5"/>
        <v>2837237</v>
      </c>
      <c r="F50" s="45">
        <f t="shared" si="5"/>
        <v>778220</v>
      </c>
      <c r="G50" s="45">
        <f t="shared" si="5"/>
        <v>555558</v>
      </c>
      <c r="H50" s="45">
        <f t="shared" si="5"/>
        <v>0</v>
      </c>
      <c r="I50" s="45">
        <f t="shared" si="5"/>
        <v>0</v>
      </c>
      <c r="J50" s="42">
        <f t="shared" si="0"/>
        <v>31130334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15370</v>
      </c>
      <c r="D55" s="55"/>
      <c r="E55" s="55">
        <v>1590</v>
      </c>
      <c r="F55" s="55"/>
      <c r="G55" s="55"/>
      <c r="H55" s="55"/>
      <c r="I55" s="55"/>
      <c r="J55" s="128">
        <f>SUM(C55:I55)</f>
        <v>16960</v>
      </c>
      <c r="K55" s="55">
        <v>22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62</v>
      </c>
      <c r="B56" s="59">
        <f>IF(A56="","",VLOOKUP(A56,$A$12:$B$50,2,FALSE))</f>
        <v>119</v>
      </c>
      <c r="C56" s="59">
        <v>4500</v>
      </c>
      <c r="D56" s="59"/>
      <c r="E56" s="59">
        <v>2700</v>
      </c>
      <c r="F56" s="59"/>
      <c r="G56" s="59"/>
      <c r="H56" s="59"/>
      <c r="I56" s="59"/>
      <c r="J56" s="128">
        <f>SUM(C56:I56)</f>
        <v>7200</v>
      </c>
      <c r="K56" s="59">
        <v>22</v>
      </c>
      <c r="L56" s="60">
        <v>22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376707</v>
      </c>
      <c r="D57" s="59"/>
      <c r="E57" s="59">
        <v>26804</v>
      </c>
      <c r="F57" s="59"/>
      <c r="G57" s="59"/>
      <c r="H57" s="59"/>
      <c r="I57" s="59"/>
      <c r="J57" s="128">
        <f>SUM(C57:I57)</f>
        <v>403511</v>
      </c>
      <c r="K57" s="59">
        <v>22</v>
      </c>
      <c r="L57" s="60">
        <v>22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217</v>
      </c>
      <c r="C60" s="174"/>
      <c r="D60" s="174"/>
      <c r="E60" s="174"/>
      <c r="F60" s="62"/>
    </row>
    <row r="61" spans="8:9" ht="12.75">
      <c r="H61" s="173" t="s">
        <v>216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208</v>
      </c>
      <c r="L2" s="187"/>
    </row>
    <row r="3" spans="1:12" ht="12.75">
      <c r="A3" s="3"/>
      <c r="H3" s="4"/>
      <c r="I3" s="4"/>
      <c r="J3" s="5" t="s">
        <v>77</v>
      </c>
      <c r="K3" s="186" t="s">
        <v>211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89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8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/>
      <c r="I22" s="41"/>
      <c r="J22" s="41">
        <v>0</v>
      </c>
      <c r="K22" s="42">
        <f t="shared" si="0"/>
        <v>0</v>
      </c>
      <c r="L22" s="41">
        <v>0</v>
      </c>
      <c r="M22" s="41">
        <v>0</v>
      </c>
      <c r="N22" s="41">
        <v>0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1466241</v>
      </c>
      <c r="D23" s="41">
        <v>214084</v>
      </c>
      <c r="E23" s="41">
        <v>0</v>
      </c>
      <c r="F23" s="41">
        <v>0</v>
      </c>
      <c r="G23" s="41">
        <v>223722</v>
      </c>
      <c r="H23" s="41"/>
      <c r="I23" s="41"/>
      <c r="J23" s="41">
        <v>128758</v>
      </c>
      <c r="K23" s="42">
        <f t="shared" si="0"/>
        <v>2032805</v>
      </c>
      <c r="L23" s="41">
        <v>20888</v>
      </c>
      <c r="M23" s="41">
        <v>16</v>
      </c>
      <c r="N23" s="41">
        <v>15</v>
      </c>
    </row>
    <row r="24" spans="1:14" ht="12.75">
      <c r="A24" s="39" t="s">
        <v>32</v>
      </c>
      <c r="B24" s="40">
        <v>83</v>
      </c>
      <c r="C24" s="41">
        <v>800800</v>
      </c>
      <c r="D24" s="41">
        <v>91536</v>
      </c>
      <c r="E24" s="41">
        <v>0</v>
      </c>
      <c r="F24" s="41">
        <v>0</v>
      </c>
      <c r="G24" s="41">
        <v>63633</v>
      </c>
      <c r="H24" s="41"/>
      <c r="I24" s="41"/>
      <c r="J24" s="41">
        <v>74363</v>
      </c>
      <c r="K24" s="42">
        <f t="shared" si="0"/>
        <v>1030332</v>
      </c>
      <c r="L24" s="41">
        <v>2886</v>
      </c>
      <c r="M24" s="41">
        <v>8</v>
      </c>
      <c r="N24" s="41">
        <v>9</v>
      </c>
    </row>
    <row r="25" spans="1:14" ht="12.75">
      <c r="A25" s="39" t="s">
        <v>33</v>
      </c>
      <c r="B25" s="40">
        <v>84</v>
      </c>
      <c r="C25" s="41">
        <v>2311858</v>
      </c>
      <c r="D25" s="41">
        <v>323391</v>
      </c>
      <c r="E25" s="41">
        <v>0</v>
      </c>
      <c r="F25" s="41">
        <v>0</v>
      </c>
      <c r="G25" s="41">
        <v>2128</v>
      </c>
      <c r="H25" s="41"/>
      <c r="I25" s="41"/>
      <c r="J25" s="41">
        <v>176876</v>
      </c>
      <c r="K25" s="42">
        <f t="shared" si="0"/>
        <v>2814253</v>
      </c>
      <c r="L25" s="41">
        <v>19600</v>
      </c>
      <c r="M25" s="41">
        <v>28</v>
      </c>
      <c r="N25" s="41">
        <v>24</v>
      </c>
    </row>
    <row r="26" spans="1:14" ht="12.75">
      <c r="A26" s="39" t="s">
        <v>34</v>
      </c>
      <c r="B26" s="40">
        <v>85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/>
      <c r="I26" s="41"/>
      <c r="J26" s="41">
        <v>0</v>
      </c>
      <c r="K26" s="42">
        <f t="shared" si="0"/>
        <v>0</v>
      </c>
      <c r="L26" s="41">
        <v>0</v>
      </c>
      <c r="M26" s="41">
        <v>0</v>
      </c>
      <c r="N26" s="41">
        <v>1</v>
      </c>
    </row>
    <row r="27" spans="1:14" ht="12.75">
      <c r="A27" s="39" t="s">
        <v>35</v>
      </c>
      <c r="B27" s="40">
        <v>86</v>
      </c>
      <c r="C27" s="41">
        <v>196100</v>
      </c>
      <c r="D27" s="41">
        <v>21500</v>
      </c>
      <c r="E27" s="41">
        <v>0</v>
      </c>
      <c r="F27" s="41">
        <v>0</v>
      </c>
      <c r="G27" s="41">
        <v>0</v>
      </c>
      <c r="H27" s="41"/>
      <c r="I27" s="41"/>
      <c r="J27" s="41">
        <v>18133</v>
      </c>
      <c r="K27" s="42">
        <f t="shared" si="0"/>
        <v>235733</v>
      </c>
      <c r="L27" s="41">
        <v>0</v>
      </c>
      <c r="M27" s="41">
        <v>1</v>
      </c>
      <c r="N27" s="41">
        <v>2</v>
      </c>
    </row>
    <row r="28" spans="1:14" ht="12.75">
      <c r="A28" s="39" t="s">
        <v>36</v>
      </c>
      <c r="B28" s="40">
        <v>87</v>
      </c>
      <c r="C28" s="41">
        <v>675739</v>
      </c>
      <c r="D28" s="41">
        <v>78141</v>
      </c>
      <c r="E28" s="41">
        <v>0</v>
      </c>
      <c r="F28" s="41">
        <v>0</v>
      </c>
      <c r="G28" s="41">
        <v>58115</v>
      </c>
      <c r="H28" s="41"/>
      <c r="I28" s="41"/>
      <c r="J28" s="41">
        <v>63846</v>
      </c>
      <c r="K28" s="42">
        <f t="shared" si="0"/>
        <v>875841</v>
      </c>
      <c r="L28" s="41">
        <v>0</v>
      </c>
      <c r="M28" s="41">
        <v>4</v>
      </c>
      <c r="N28" s="41">
        <v>3</v>
      </c>
    </row>
    <row r="29" spans="1:14" ht="12.75">
      <c r="A29" s="39" t="s">
        <v>37</v>
      </c>
      <c r="B29" s="40">
        <v>88</v>
      </c>
      <c r="C29" s="41">
        <v>751366</v>
      </c>
      <c r="D29" s="41">
        <v>119610</v>
      </c>
      <c r="E29" s="41">
        <v>0</v>
      </c>
      <c r="F29" s="41">
        <v>30000</v>
      </c>
      <c r="G29" s="41">
        <v>59200</v>
      </c>
      <c r="H29" s="41"/>
      <c r="I29" s="41"/>
      <c r="J29" s="41">
        <v>73313</v>
      </c>
      <c r="K29" s="42">
        <f t="shared" si="0"/>
        <v>1033489</v>
      </c>
      <c r="L29" s="41">
        <v>0</v>
      </c>
      <c r="M29" s="41">
        <v>4</v>
      </c>
      <c r="N29" s="41">
        <v>5</v>
      </c>
    </row>
    <row r="30" spans="1:14" ht="12.75">
      <c r="A30" s="39" t="s">
        <v>40</v>
      </c>
      <c r="B30" s="40">
        <v>89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/>
      <c r="I30" s="41"/>
      <c r="J30" s="41">
        <v>0</v>
      </c>
      <c r="K30" s="42">
        <f t="shared" si="0"/>
        <v>0</v>
      </c>
      <c r="L30" s="41">
        <v>0</v>
      </c>
      <c r="M30" s="41">
        <v>0</v>
      </c>
      <c r="N30" s="41">
        <v>1</v>
      </c>
    </row>
    <row r="31" spans="1:14" ht="12.75">
      <c r="A31" s="39" t="s">
        <v>41</v>
      </c>
      <c r="B31" s="40">
        <v>90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/>
      <c r="I31" s="41"/>
      <c r="J31" s="41">
        <v>0</v>
      </c>
      <c r="K31" s="42">
        <f t="shared" si="0"/>
        <v>0</v>
      </c>
      <c r="L31" s="41">
        <v>0</v>
      </c>
      <c r="M31" s="41">
        <v>0</v>
      </c>
      <c r="N31" s="41">
        <v>0</v>
      </c>
    </row>
    <row r="32" spans="1:14" s="46" customFormat="1" ht="12.75">
      <c r="A32" s="44" t="s">
        <v>73</v>
      </c>
      <c r="B32" s="40">
        <v>92</v>
      </c>
      <c r="C32" s="45">
        <f>SUM(C12:C31)</f>
        <v>6202104</v>
      </c>
      <c r="D32" s="45">
        <f aca="true" t="shared" si="1" ref="D32:J32">SUM(D12:D31)</f>
        <v>848262</v>
      </c>
      <c r="E32" s="45">
        <f t="shared" si="1"/>
        <v>0</v>
      </c>
      <c r="F32" s="45">
        <f t="shared" si="1"/>
        <v>30000</v>
      </c>
      <c r="G32" s="45">
        <f t="shared" si="1"/>
        <v>406798</v>
      </c>
      <c r="H32" s="45">
        <f t="shared" si="1"/>
        <v>0</v>
      </c>
      <c r="I32" s="45">
        <f t="shared" si="1"/>
        <v>0</v>
      </c>
      <c r="J32" s="45">
        <f t="shared" si="1"/>
        <v>535289</v>
      </c>
      <c r="K32" s="42">
        <f t="shared" si="0"/>
        <v>8022453</v>
      </c>
      <c r="L32" s="45">
        <f>SUM(L12:L31)</f>
        <v>43374</v>
      </c>
      <c r="M32" s="45">
        <f>SUM(M12:M31)</f>
        <v>61</v>
      </c>
      <c r="N32" s="45">
        <f>SUM(N12:N31)</f>
        <v>60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23190</v>
      </c>
      <c r="G42" s="41">
        <v>192477</v>
      </c>
      <c r="H42" s="41">
        <v>0</v>
      </c>
      <c r="I42" s="41"/>
      <c r="J42" s="41">
        <v>90086</v>
      </c>
      <c r="K42" s="42">
        <f t="shared" si="0"/>
        <v>1171127</v>
      </c>
      <c r="L42" s="41">
        <v>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140302</v>
      </c>
      <c r="E43" s="41">
        <v>434815</v>
      </c>
      <c r="F43" s="41">
        <v>90828</v>
      </c>
      <c r="G43" s="41">
        <v>300504</v>
      </c>
      <c r="H43" s="41">
        <v>0</v>
      </c>
      <c r="I43" s="41"/>
      <c r="J43" s="41">
        <v>201319</v>
      </c>
      <c r="K43" s="42">
        <f t="shared" si="0"/>
        <v>2617143</v>
      </c>
      <c r="L43" s="41">
        <v>0</v>
      </c>
      <c r="M43" s="41">
        <v>5</v>
      </c>
      <c r="N43" s="41">
        <v>5</v>
      </c>
    </row>
    <row r="44" spans="1:14" ht="12.75">
      <c r="A44" s="48" t="s">
        <v>61</v>
      </c>
      <c r="B44" s="40">
        <v>115</v>
      </c>
      <c r="C44" s="41">
        <v>2434950</v>
      </c>
      <c r="D44" s="41">
        <v>234996</v>
      </c>
      <c r="E44" s="41">
        <v>730485</v>
      </c>
      <c r="F44" s="41">
        <v>32854</v>
      </c>
      <c r="G44" s="41">
        <v>276541</v>
      </c>
      <c r="H44" s="41">
        <v>0</v>
      </c>
      <c r="I44" s="41"/>
      <c r="J44" s="41">
        <v>309153</v>
      </c>
      <c r="K44" s="42">
        <f t="shared" si="0"/>
        <v>4018979</v>
      </c>
      <c r="L44" s="41">
        <v>56125</v>
      </c>
      <c r="M44" s="41">
        <v>9</v>
      </c>
      <c r="N44" s="41">
        <v>9</v>
      </c>
    </row>
    <row r="45" spans="1:14" ht="12.75">
      <c r="A45" s="48" t="s">
        <v>62</v>
      </c>
      <c r="B45" s="40">
        <v>119</v>
      </c>
      <c r="C45" s="41">
        <v>9051832</v>
      </c>
      <c r="D45" s="41">
        <v>1051300</v>
      </c>
      <c r="E45" s="41">
        <v>2715563</v>
      </c>
      <c r="F45" s="41">
        <v>326595</v>
      </c>
      <c r="G45" s="41">
        <v>329489</v>
      </c>
      <c r="H45" s="41">
        <v>10050</v>
      </c>
      <c r="I45" s="41"/>
      <c r="J45" s="41">
        <v>1052155</v>
      </c>
      <c r="K45" s="42">
        <f t="shared" si="0"/>
        <v>14536984</v>
      </c>
      <c r="L45" s="41">
        <v>292882</v>
      </c>
      <c r="M45" s="41">
        <v>44</v>
      </c>
      <c r="N45" s="41">
        <v>43</v>
      </c>
    </row>
    <row r="46" spans="1:14" ht="12.75">
      <c r="A46" s="48" t="s">
        <v>63</v>
      </c>
      <c r="B46" s="40">
        <v>120</v>
      </c>
      <c r="C46" s="41">
        <v>33842055</v>
      </c>
      <c r="D46" s="41">
        <v>4792369</v>
      </c>
      <c r="E46" s="41">
        <v>5269337</v>
      </c>
      <c r="F46" s="41">
        <v>220306</v>
      </c>
      <c r="G46" s="41">
        <v>6484882</v>
      </c>
      <c r="H46" s="41">
        <v>113784</v>
      </c>
      <c r="I46" s="41"/>
      <c r="J46" s="41">
        <v>3644033</v>
      </c>
      <c r="K46" s="42">
        <f t="shared" si="0"/>
        <v>54366766</v>
      </c>
      <c r="L46" s="41">
        <v>1495523</v>
      </c>
      <c r="M46" s="41">
        <v>318</v>
      </c>
      <c r="N46" s="41">
        <v>303</v>
      </c>
    </row>
    <row r="47" spans="1:14" ht="12.75">
      <c r="A47" s="44" t="s">
        <v>74</v>
      </c>
      <c r="B47" s="45">
        <v>121</v>
      </c>
      <c r="C47" s="45">
        <f>SUM(C40:C46)</f>
        <v>47396612</v>
      </c>
      <c r="D47" s="45">
        <f aca="true" t="shared" si="3" ref="D47:J47">SUM(D40:D46)</f>
        <v>6280421</v>
      </c>
      <c r="E47" s="45">
        <f t="shared" si="3"/>
        <v>9335720</v>
      </c>
      <c r="F47" s="45">
        <f t="shared" si="3"/>
        <v>693773</v>
      </c>
      <c r="G47" s="45">
        <f t="shared" si="3"/>
        <v>7583893</v>
      </c>
      <c r="H47" s="45">
        <f t="shared" si="3"/>
        <v>123834</v>
      </c>
      <c r="I47" s="45">
        <f t="shared" si="3"/>
        <v>0</v>
      </c>
      <c r="J47" s="45">
        <f t="shared" si="3"/>
        <v>5296746</v>
      </c>
      <c r="K47" s="42">
        <f t="shared" si="0"/>
        <v>76710999</v>
      </c>
      <c r="L47" s="45">
        <f>SUM(L40:L46)</f>
        <v>1844530</v>
      </c>
      <c r="M47" s="45">
        <f>SUM(M40:M46)</f>
        <v>378</v>
      </c>
      <c r="N47" s="45">
        <f>SUM(N40:N46)</f>
        <v>362</v>
      </c>
    </row>
    <row r="48" spans="1:14" ht="12.75">
      <c r="A48" s="44" t="s">
        <v>119</v>
      </c>
      <c r="B48" s="45">
        <v>152</v>
      </c>
      <c r="C48" s="45">
        <f>C32+C39+C47</f>
        <v>53598716</v>
      </c>
      <c r="D48" s="45">
        <f aca="true" t="shared" si="4" ref="D48:J48">D32+D39+D47</f>
        <v>7128683</v>
      </c>
      <c r="E48" s="45">
        <f t="shared" si="4"/>
        <v>9335720</v>
      </c>
      <c r="F48" s="45">
        <f t="shared" si="4"/>
        <v>723773</v>
      </c>
      <c r="G48" s="45">
        <f t="shared" si="4"/>
        <v>7990691</v>
      </c>
      <c r="H48" s="45">
        <f t="shared" si="4"/>
        <v>123834</v>
      </c>
      <c r="I48" s="45">
        <f t="shared" si="4"/>
        <v>0</v>
      </c>
      <c r="J48" s="45">
        <f t="shared" si="4"/>
        <v>5832035</v>
      </c>
      <c r="K48" s="42">
        <f t="shared" si="0"/>
        <v>84733452</v>
      </c>
      <c r="L48" s="45">
        <f>L32+L39+L47</f>
        <v>1887904</v>
      </c>
      <c r="M48" s="45">
        <f>M32+M39+M47</f>
        <v>439</v>
      </c>
      <c r="N48" s="45">
        <f>N32+N39+N47</f>
        <v>422</v>
      </c>
    </row>
    <row r="49" spans="1:14" ht="12.75">
      <c r="A49" s="44" t="s">
        <v>51</v>
      </c>
      <c r="B49" s="45">
        <v>158</v>
      </c>
      <c r="C49" s="49">
        <v>406600</v>
      </c>
      <c r="D49" s="49">
        <v>71847</v>
      </c>
      <c r="E49" s="49">
        <v>0</v>
      </c>
      <c r="F49" s="49">
        <v>45000</v>
      </c>
      <c r="G49" s="49">
        <v>0</v>
      </c>
      <c r="H49" s="49">
        <v>0</v>
      </c>
      <c r="I49" s="49"/>
      <c r="J49" s="49">
        <v>42200</v>
      </c>
      <c r="K49" s="42">
        <f t="shared" si="0"/>
        <v>565647</v>
      </c>
      <c r="L49" s="49">
        <v>0</v>
      </c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54005316</v>
      </c>
      <c r="D50" s="45">
        <f aca="true" t="shared" si="5" ref="D50:J50">D48+D49</f>
        <v>7200530</v>
      </c>
      <c r="E50" s="45">
        <f t="shared" si="5"/>
        <v>9335720</v>
      </c>
      <c r="F50" s="45">
        <f t="shared" si="5"/>
        <v>768773</v>
      </c>
      <c r="G50" s="45">
        <f t="shared" si="5"/>
        <v>7990691</v>
      </c>
      <c r="H50" s="45">
        <f t="shared" si="5"/>
        <v>123834</v>
      </c>
      <c r="I50" s="45">
        <f t="shared" si="5"/>
        <v>0</v>
      </c>
      <c r="J50" s="45">
        <f t="shared" si="5"/>
        <v>5874235</v>
      </c>
      <c r="K50" s="42">
        <f t="shared" si="0"/>
        <v>85299099</v>
      </c>
      <c r="L50" s="45">
        <f>L48+L49</f>
        <v>1887904</v>
      </c>
      <c r="M50" s="45">
        <f>M48+M49</f>
        <v>444</v>
      </c>
      <c r="N50" s="45">
        <f>N48+N49</f>
        <v>424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/>
      <c r="D55" s="55"/>
      <c r="E55" s="55"/>
      <c r="F55" s="55"/>
      <c r="G55" s="55"/>
      <c r="H55" s="55"/>
      <c r="I55" s="55"/>
      <c r="J55" s="55">
        <v>9462</v>
      </c>
      <c r="K55" s="42">
        <f>SUM(C55:J55)</f>
        <v>9462</v>
      </c>
      <c r="L55" s="55"/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111893</v>
      </c>
      <c r="D56" s="59">
        <v>17089</v>
      </c>
      <c r="E56" s="59">
        <v>16785</v>
      </c>
      <c r="F56" s="59">
        <v>0</v>
      </c>
      <c r="G56" s="59">
        <v>73024</v>
      </c>
      <c r="H56" s="59">
        <v>0</v>
      </c>
      <c r="I56" s="59"/>
      <c r="J56" s="59">
        <v>-115887</v>
      </c>
      <c r="K56" s="42">
        <f>SUM(C56:J56)</f>
        <v>102904</v>
      </c>
      <c r="L56" s="59">
        <v>122712</v>
      </c>
      <c r="M56" s="60">
        <v>21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42">
        <f>SUM(C57:J57)</f>
        <v>0</v>
      </c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42">
        <f>SUM(C58:J58)</f>
        <v>0</v>
      </c>
      <c r="L58" s="59"/>
      <c r="M58" s="60"/>
      <c r="N58" s="57"/>
      <c r="O58" s="43"/>
    </row>
    <row r="59" spans="3:13" ht="12.7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5" ht="12.75">
      <c r="A60" s="61" t="s">
        <v>21</v>
      </c>
      <c r="B60" s="174" t="s">
        <v>209</v>
      </c>
      <c r="C60" s="174"/>
      <c r="D60" s="174"/>
      <c r="E60" s="62"/>
    </row>
    <row r="61" spans="10:11" ht="12.75">
      <c r="J61" s="173" t="s">
        <v>222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Közép-dunántúli Országos Büntetés-végrehajtási Intézet</v>
      </c>
    </row>
    <row r="2" spans="1:9" ht="12.75">
      <c r="A2" s="3" t="s">
        <v>71</v>
      </c>
      <c r="G2" s="5" t="s">
        <v>0</v>
      </c>
      <c r="H2" s="186" t="s">
        <v>220</v>
      </c>
      <c r="I2" s="187"/>
    </row>
    <row r="3" spans="1:9" ht="12.75">
      <c r="A3" s="3"/>
      <c r="G3" s="5" t="s">
        <v>77</v>
      </c>
      <c r="H3" s="186" t="s">
        <v>219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166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609184</v>
      </c>
      <c r="D23" s="41"/>
      <c r="E23" s="41">
        <v>63021</v>
      </c>
      <c r="F23" s="41">
        <v>30615</v>
      </c>
      <c r="G23" s="41"/>
      <c r="H23" s="41"/>
      <c r="I23" s="41"/>
      <c r="J23" s="42">
        <f t="shared" si="0"/>
        <v>702820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300239</v>
      </c>
      <c r="D24" s="41"/>
      <c r="E24" s="41">
        <v>31058</v>
      </c>
      <c r="F24" s="41">
        <v>15600</v>
      </c>
      <c r="G24" s="41"/>
      <c r="H24" s="41"/>
      <c r="I24" s="41"/>
      <c r="J24" s="42">
        <f t="shared" si="0"/>
        <v>346897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824002</v>
      </c>
      <c r="D25" s="41"/>
      <c r="E25" s="41">
        <v>84858</v>
      </c>
      <c r="F25" s="41">
        <v>45890</v>
      </c>
      <c r="G25" s="41"/>
      <c r="H25" s="41"/>
      <c r="I25" s="41"/>
      <c r="J25" s="42">
        <f t="shared" si="0"/>
        <v>954750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68463</v>
      </c>
      <c r="D27" s="41"/>
      <c r="E27" s="41">
        <v>7072</v>
      </c>
      <c r="F27" s="41">
        <v>1950</v>
      </c>
      <c r="G27" s="41"/>
      <c r="H27" s="41"/>
      <c r="I27" s="41"/>
      <c r="J27" s="42">
        <f t="shared" si="0"/>
        <v>77485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295320</v>
      </c>
      <c r="D28" s="41"/>
      <c r="E28" s="41">
        <v>30551</v>
      </c>
      <c r="F28" s="41">
        <v>7800</v>
      </c>
      <c r="G28" s="41"/>
      <c r="H28" s="41"/>
      <c r="I28" s="41"/>
      <c r="J28" s="42">
        <f t="shared" si="0"/>
        <v>333671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219651</v>
      </c>
      <c r="D29" s="41"/>
      <c r="E29" s="41">
        <v>22724</v>
      </c>
      <c r="F29" s="41">
        <v>5850</v>
      </c>
      <c r="G29" s="41"/>
      <c r="H29" s="41"/>
      <c r="I29" s="41"/>
      <c r="J29" s="42">
        <f t="shared" si="0"/>
        <v>248225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2316859</v>
      </c>
      <c r="D32" s="45">
        <f>SUM(D12:D31)</f>
        <v>0</v>
      </c>
      <c r="E32" s="45">
        <f t="shared" si="1"/>
        <v>239284</v>
      </c>
      <c r="F32" s="45">
        <f t="shared" si="1"/>
        <v>107705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2663848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339628</v>
      </c>
      <c r="D42" s="41"/>
      <c r="E42" s="41">
        <v>35133</v>
      </c>
      <c r="F42" s="41">
        <v>3900</v>
      </c>
      <c r="G42" s="41">
        <v>2738</v>
      </c>
      <c r="H42" s="41"/>
      <c r="I42" s="41"/>
      <c r="J42" s="42">
        <f t="shared" si="0"/>
        <v>381399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1035054</v>
      </c>
      <c r="D43" s="41"/>
      <c r="E43" s="41">
        <v>107074</v>
      </c>
      <c r="F43" s="41">
        <v>11458</v>
      </c>
      <c r="G43" s="41">
        <v>6845</v>
      </c>
      <c r="H43" s="41"/>
      <c r="I43" s="41"/>
      <c r="J43" s="42">
        <f t="shared" si="0"/>
        <v>1160431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1577024</v>
      </c>
      <c r="D44" s="41"/>
      <c r="E44" s="41">
        <v>163142</v>
      </c>
      <c r="F44" s="41">
        <v>23140</v>
      </c>
      <c r="G44" s="41">
        <v>15059</v>
      </c>
      <c r="H44" s="41"/>
      <c r="I44" s="41"/>
      <c r="J44" s="42">
        <f t="shared" si="0"/>
        <v>1778365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4270962</v>
      </c>
      <c r="D45" s="41"/>
      <c r="E45" s="41">
        <v>448166</v>
      </c>
      <c r="F45" s="41">
        <v>70785</v>
      </c>
      <c r="G45" s="41">
        <v>56129</v>
      </c>
      <c r="H45" s="41"/>
      <c r="I45" s="41"/>
      <c r="J45" s="42">
        <f t="shared" si="0"/>
        <v>4846042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16571068</v>
      </c>
      <c r="D46" s="41"/>
      <c r="E46" s="41">
        <v>1745253</v>
      </c>
      <c r="F46" s="41">
        <v>554768</v>
      </c>
      <c r="G46" s="41">
        <v>414793</v>
      </c>
      <c r="H46" s="41"/>
      <c r="I46" s="41"/>
      <c r="J46" s="42">
        <f t="shared" si="0"/>
        <v>19285882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23793736</v>
      </c>
      <c r="D47" s="45">
        <f>SUM(D40:D46)</f>
        <v>0</v>
      </c>
      <c r="E47" s="45">
        <f t="shared" si="3"/>
        <v>2498768</v>
      </c>
      <c r="F47" s="45">
        <f t="shared" si="3"/>
        <v>664051</v>
      </c>
      <c r="G47" s="45">
        <f t="shared" si="3"/>
        <v>495564</v>
      </c>
      <c r="H47" s="45">
        <f t="shared" si="3"/>
        <v>0</v>
      </c>
      <c r="I47" s="45">
        <f t="shared" si="3"/>
        <v>0</v>
      </c>
      <c r="J47" s="42">
        <f t="shared" si="0"/>
        <v>27452119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26110595</v>
      </c>
      <c r="D48" s="45">
        <f>D32+D39+D47</f>
        <v>0</v>
      </c>
      <c r="E48" s="45">
        <f t="shared" si="4"/>
        <v>2738052</v>
      </c>
      <c r="F48" s="45">
        <f t="shared" si="4"/>
        <v>771756</v>
      </c>
      <c r="G48" s="45">
        <f t="shared" si="4"/>
        <v>495564</v>
      </c>
      <c r="H48" s="45">
        <f t="shared" si="4"/>
        <v>0</v>
      </c>
      <c r="I48" s="45">
        <f t="shared" si="4"/>
        <v>0</v>
      </c>
      <c r="J48" s="42">
        <f t="shared" si="0"/>
        <v>30115967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164039</v>
      </c>
      <c r="D49" s="49"/>
      <c r="E49" s="49">
        <v>16971</v>
      </c>
      <c r="F49" s="49">
        <v>5576</v>
      </c>
      <c r="G49" s="49"/>
      <c r="H49" s="49"/>
      <c r="I49" s="49"/>
      <c r="J49" s="42">
        <f t="shared" si="0"/>
        <v>186586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26274634</v>
      </c>
      <c r="D50" s="45">
        <f>D48+D49</f>
        <v>0</v>
      </c>
      <c r="E50" s="45">
        <f t="shared" si="5"/>
        <v>2755023</v>
      </c>
      <c r="F50" s="45">
        <f t="shared" si="5"/>
        <v>777332</v>
      </c>
      <c r="G50" s="45">
        <f t="shared" si="5"/>
        <v>495564</v>
      </c>
      <c r="H50" s="45">
        <f t="shared" si="5"/>
        <v>0</v>
      </c>
      <c r="I50" s="45">
        <f t="shared" si="5"/>
        <v>0</v>
      </c>
      <c r="J50" s="42">
        <f t="shared" si="0"/>
        <v>30302553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2744</v>
      </c>
      <c r="D55" s="55"/>
      <c r="E55" s="55"/>
      <c r="F55" s="55"/>
      <c r="G55" s="55"/>
      <c r="H55" s="55"/>
      <c r="I55" s="55"/>
      <c r="J55" s="128">
        <f>SUM(C55:I55)</f>
        <v>2744</v>
      </c>
      <c r="K55" s="55">
        <v>21</v>
      </c>
      <c r="L55" s="56">
        <v>21</v>
      </c>
      <c r="M55" s="129"/>
      <c r="N55" s="112"/>
      <c r="O55" s="114"/>
      <c r="P55" s="130"/>
    </row>
    <row r="56" spans="1:16" s="46" customFormat="1" ht="12.75">
      <c r="A56" s="54" t="s">
        <v>60</v>
      </c>
      <c r="B56" s="55"/>
      <c r="C56" s="55">
        <v>276080</v>
      </c>
      <c r="D56" s="55"/>
      <c r="E56" s="55">
        <v>28560</v>
      </c>
      <c r="F56" s="55">
        <v>1708</v>
      </c>
      <c r="G56" s="55"/>
      <c r="H56" s="55"/>
      <c r="I56" s="55"/>
      <c r="J56" s="128">
        <f>SUM(C56:I56)</f>
        <v>306348</v>
      </c>
      <c r="K56" s="55">
        <v>21</v>
      </c>
      <c r="L56" s="56">
        <v>21</v>
      </c>
      <c r="M56" s="129"/>
      <c r="N56" s="112"/>
      <c r="O56" s="114"/>
      <c r="P56" s="130"/>
    </row>
    <row r="57" spans="1:16" s="46" customFormat="1" ht="12.75">
      <c r="A57" s="58" t="s">
        <v>62</v>
      </c>
      <c r="B57" s="59">
        <f>IF(A57="","",VLOOKUP(A57,$A$12:$B$50,2,FALSE))</f>
        <v>119</v>
      </c>
      <c r="C57" s="59">
        <v>473046</v>
      </c>
      <c r="D57" s="59"/>
      <c r="E57" s="59">
        <v>55273</v>
      </c>
      <c r="F57" s="59">
        <v>2990</v>
      </c>
      <c r="G57" s="59"/>
      <c r="H57" s="59"/>
      <c r="I57" s="59"/>
      <c r="J57" s="128">
        <f>SUM(C57:I57)</f>
        <v>531309</v>
      </c>
      <c r="K57" s="59">
        <v>21</v>
      </c>
      <c r="L57" s="60">
        <v>21</v>
      </c>
      <c r="M57" s="129"/>
      <c r="N57" s="112"/>
      <c r="O57" s="114"/>
      <c r="P57" s="130"/>
    </row>
    <row r="58" spans="1:16" s="46" customFormat="1" ht="12.75">
      <c r="A58" s="58" t="s">
        <v>63</v>
      </c>
      <c r="B58" s="59">
        <f>IF(A58="","",VLOOKUP(A58,$A$12:$B$50,2,FALSE))</f>
        <v>120</v>
      </c>
      <c r="C58" s="59">
        <v>263182</v>
      </c>
      <c r="D58" s="59"/>
      <c r="E58" s="59">
        <v>36609</v>
      </c>
      <c r="F58" s="59">
        <v>448</v>
      </c>
      <c r="G58" s="59"/>
      <c r="H58" s="59"/>
      <c r="I58" s="59"/>
      <c r="J58" s="128">
        <f>SUM(C58:I58)</f>
        <v>300239</v>
      </c>
      <c r="K58" s="59">
        <v>15</v>
      </c>
      <c r="L58" s="60">
        <v>21</v>
      </c>
      <c r="M58" s="129"/>
      <c r="N58" s="112"/>
      <c r="O58" s="114"/>
      <c r="P58" s="130"/>
    </row>
    <row r="59" spans="1:16" ht="12.75">
      <c r="A59" s="58"/>
      <c r="B59" s="59">
        <f>IF(A59="","",VLOOKUP(A59,$A$12:$B$50,2,FALSE))</f>
      </c>
      <c r="C59" s="59"/>
      <c r="D59" s="59"/>
      <c r="E59" s="59"/>
      <c r="F59" s="59"/>
      <c r="G59" s="59"/>
      <c r="H59" s="59"/>
      <c r="I59" s="59"/>
      <c r="J59" s="128">
        <f>SUM(C59:I59)</f>
        <v>0</v>
      </c>
      <c r="K59" s="59"/>
      <c r="L59" s="60"/>
      <c r="M59" s="129"/>
      <c r="N59" s="112"/>
      <c r="O59" s="132"/>
      <c r="P59" s="43"/>
    </row>
    <row r="61" spans="1:6" ht="12.75">
      <c r="A61" s="61" t="s">
        <v>21</v>
      </c>
      <c r="B61" s="174" t="s">
        <v>221</v>
      </c>
      <c r="C61" s="174"/>
      <c r="D61" s="174"/>
      <c r="E61" s="174"/>
      <c r="F61" s="62"/>
    </row>
    <row r="62" spans="8:9" ht="12.75">
      <c r="H62" s="173" t="s">
        <v>222</v>
      </c>
      <c r="I62" s="173"/>
    </row>
    <row r="63" spans="8:9" ht="12.75">
      <c r="H63" s="172" t="s">
        <v>48</v>
      </c>
      <c r="I63" s="172"/>
    </row>
  </sheetData>
  <sheetProtection/>
  <mergeCells count="10">
    <mergeCell ref="B61:E61"/>
    <mergeCell ref="H62:I62"/>
    <mergeCell ref="H63:I63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Baracskai O. Bv. Intézet</cp:lastModifiedBy>
  <cp:lastPrinted>2008-07-17T08:29:16Z</cp:lastPrinted>
  <dcterms:created xsi:type="dcterms:W3CDTF">2001-02-26T08:59:43Z</dcterms:created>
  <dcterms:modified xsi:type="dcterms:W3CDTF">2008-07-17T08:31:44Z</dcterms:modified>
  <cp:category/>
  <cp:version/>
  <cp:contentType/>
  <cp:contentStatus/>
</cp:coreProperties>
</file>